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omments6.xml" ContentType="application/vnd.openxmlformats-officedocument.spreadsheetml.comments+xml"/>
  <Override PartName="/xl/drawings/drawing3.xml" ContentType="application/vnd.openxmlformats-officedocument.drawing+xml"/>
  <Override PartName="/xl/comments7.xml" ContentType="application/vnd.openxmlformats-officedocument.spreadsheetml.comments+xml"/>
  <Override PartName="/xl/drawings/drawing4.xml" ContentType="application/vnd.openxmlformats-officedocument.drawing+xml"/>
  <Override PartName="/xl/comments8.xml" ContentType="application/vnd.openxmlformats-officedocument.spreadsheetml.comments+xml"/>
  <Override PartName="/xl/drawings/drawing5.xml" ContentType="application/vnd.openxmlformats-officedocument.drawing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US\Desktop\Randazzo Giovanni\3.Fogli di Calcolo\"/>
    </mc:Choice>
  </mc:AlternateContent>
  <bookViews>
    <workbookView xWindow="0" yWindow="0" windowWidth="6750" windowHeight="7560" tabRatio="778" firstSheet="3" activeTab="3"/>
  </bookViews>
  <sheets>
    <sheet name="Dati" sheetId="17" r:id="rId1"/>
    <sheet name="Analisi dei Carichi" sheetId="1" r:id="rId2"/>
    <sheet name="Masse &amp; forze" sheetId="2" r:id="rId3"/>
    <sheet name="Caratteristiche sollecitazioni" sheetId="3" r:id="rId4"/>
    <sheet name="Rigidezze" sheetId="4" r:id="rId5"/>
    <sheet name="Periodi" sheetId="29" r:id="rId6"/>
    <sheet name="Bil. Rigid. Piano tipo" sheetId="5" r:id="rId7"/>
    <sheet name="Bil. Rigid 7 Ordine" sheetId="10" r:id="rId8"/>
    <sheet name="Bil. Rigid. Ord. 3 e 4" sheetId="13" r:id="rId9"/>
    <sheet name="Bil. Rigid. 2 Ordine" sheetId="11" r:id="rId10"/>
    <sheet name="Tabella Carichi Unitari" sheetId="18" r:id="rId11"/>
    <sheet name="Tabella Rigidezze" sheetId="9" r:id="rId12"/>
    <sheet name="Carichi" sheetId="23" r:id="rId13"/>
    <sheet name="Masse di Piano" sheetId="16" r:id="rId14"/>
    <sheet name="Forze Statiche" sheetId="2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9" l="1"/>
  <c r="S4" i="9"/>
  <c r="R5" i="9"/>
  <c r="S5" i="9"/>
  <c r="R6" i="9"/>
  <c r="S6" i="9"/>
  <c r="R7" i="9"/>
  <c r="S7" i="9"/>
  <c r="R8" i="9"/>
  <c r="S8" i="9"/>
  <c r="R9" i="9"/>
  <c r="S9" i="9"/>
  <c r="S3" i="9"/>
  <c r="R3" i="9"/>
  <c r="E14" i="2" l="1"/>
  <c r="E10" i="2" l="1"/>
  <c r="D12" i="2"/>
  <c r="D11" i="2"/>
  <c r="D10" i="2"/>
  <c r="N14" i="28" l="1"/>
  <c r="N15" i="28" l="1"/>
  <c r="G18" i="28" l="1"/>
  <c r="I53" i="16" l="1"/>
  <c r="J53" i="16"/>
  <c r="K53" i="16"/>
  <c r="I54" i="16"/>
  <c r="J54" i="16"/>
  <c r="K54" i="16"/>
  <c r="I55" i="16"/>
  <c r="J55" i="16"/>
  <c r="K55" i="16"/>
  <c r="I56" i="16"/>
  <c r="J56" i="16"/>
  <c r="K56" i="16"/>
  <c r="I57" i="16"/>
  <c r="J57" i="16"/>
  <c r="K57" i="16"/>
  <c r="I58" i="16"/>
  <c r="J58" i="16"/>
  <c r="K58" i="16"/>
  <c r="J52" i="16"/>
  <c r="K52" i="16"/>
  <c r="I52" i="16"/>
  <c r="H59" i="16"/>
  <c r="D56" i="16"/>
  <c r="D57" i="16" s="1"/>
  <c r="D58" i="16" s="1"/>
  <c r="D55" i="16"/>
  <c r="F53" i="16"/>
  <c r="B36" i="3"/>
  <c r="F19" i="2"/>
  <c r="C6" i="2"/>
  <c r="C5" i="2"/>
  <c r="C4" i="2"/>
  <c r="C3" i="2"/>
  <c r="C2" i="2"/>
  <c r="C18" i="2" l="1"/>
  <c r="C19" i="2" s="1"/>
  <c r="C20" i="2" s="1"/>
  <c r="C22" i="2" s="1"/>
  <c r="C13" i="2"/>
  <c r="E30" i="16" l="1"/>
  <c r="E29" i="16"/>
  <c r="I28" i="16"/>
  <c r="K30" i="16"/>
  <c r="E33" i="16"/>
  <c r="G28" i="16"/>
  <c r="C40" i="1"/>
  <c r="K27" i="1"/>
  <c r="K28" i="1"/>
  <c r="K29" i="1"/>
  <c r="J28" i="1"/>
  <c r="K26" i="1"/>
  <c r="K35" i="16"/>
  <c r="I35" i="16"/>
  <c r="G35" i="16"/>
  <c r="E35" i="16"/>
  <c r="I30" i="16"/>
  <c r="G30" i="16"/>
  <c r="C35" i="16"/>
  <c r="G36" i="16" l="1"/>
  <c r="E34" i="16"/>
  <c r="K34" i="16"/>
  <c r="K38" i="16"/>
  <c r="K37" i="16"/>
  <c r="L37" i="16"/>
  <c r="M21" i="1" l="1"/>
  <c r="M16" i="1"/>
  <c r="M15" i="1"/>
  <c r="M14" i="1"/>
  <c r="M8" i="28" l="1"/>
  <c r="M7" i="28"/>
  <c r="M6" i="28"/>
  <c r="M5" i="28"/>
  <c r="M4" i="28"/>
  <c r="M3" i="28"/>
  <c r="M2" i="28"/>
  <c r="L8" i="28"/>
  <c r="L7" i="28"/>
  <c r="L6" i="28"/>
  <c r="L5" i="28"/>
  <c r="L4" i="28"/>
  <c r="L3" i="28"/>
  <c r="L2" i="28"/>
  <c r="L8" i="9"/>
  <c r="L7" i="9"/>
  <c r="L6" i="9"/>
  <c r="L5" i="9"/>
  <c r="L4" i="9"/>
  <c r="L3" i="9"/>
  <c r="C38" i="1"/>
  <c r="I8" i="1"/>
  <c r="E17" i="28" l="1"/>
  <c r="D17" i="28"/>
  <c r="C17" i="28"/>
  <c r="A18" i="28"/>
  <c r="A19" i="28"/>
  <c r="A20" i="28"/>
  <c r="A21" i="28"/>
  <c r="A22" i="28"/>
  <c r="A23" i="28"/>
  <c r="A17" i="28"/>
  <c r="F12" i="28"/>
  <c r="E4" i="28"/>
  <c r="C4" i="28"/>
  <c r="D27" i="2" l="1"/>
  <c r="M58" i="16"/>
  <c r="D23" i="28" s="1"/>
  <c r="I48" i="16"/>
  <c r="D41" i="16"/>
  <c r="C41" i="16"/>
  <c r="F41" i="16"/>
  <c r="E41" i="16"/>
  <c r="E40" i="16"/>
  <c r="H39" i="16"/>
  <c r="G39" i="16"/>
  <c r="J38" i="16"/>
  <c r="I38" i="16"/>
  <c r="L38" i="16"/>
  <c r="G19" i="16"/>
  <c r="I19" i="16"/>
  <c r="J19" i="16"/>
  <c r="L19" i="16" s="1"/>
  <c r="C19" i="16"/>
  <c r="L18" i="16"/>
  <c r="J18" i="16"/>
  <c r="I18" i="16"/>
  <c r="G18" i="16"/>
  <c r="C18" i="16"/>
  <c r="B21" i="16"/>
  <c r="AC17" i="1"/>
  <c r="Y17" i="1"/>
  <c r="C20" i="16" s="1"/>
  <c r="AG13" i="1"/>
  <c r="AC13" i="1"/>
  <c r="Y13" i="1"/>
  <c r="C44" i="1"/>
  <c r="G20" i="16" l="1"/>
  <c r="I20" i="16" s="1"/>
  <c r="J20" i="16"/>
  <c r="L20" i="16" s="1"/>
  <c r="F40" i="16" s="1"/>
  <c r="K36" i="16"/>
  <c r="E36" i="16"/>
  <c r="I34" i="16"/>
  <c r="G32" i="16"/>
  <c r="K31" i="16"/>
  <c r="G25" i="16"/>
  <c r="E53" i="16"/>
  <c r="E54" i="16" l="1"/>
  <c r="E55" i="16"/>
  <c r="I36" i="16"/>
  <c r="G34" i="16"/>
  <c r="K25" i="16"/>
  <c r="I25" i="16"/>
  <c r="D2" i="16"/>
  <c r="E2" i="16"/>
  <c r="F2" i="16"/>
  <c r="G2" i="16"/>
  <c r="H2" i="16"/>
  <c r="I2" i="16"/>
  <c r="J2" i="16"/>
  <c r="K2" i="16"/>
  <c r="L2" i="16"/>
  <c r="D3" i="16"/>
  <c r="F3" i="16"/>
  <c r="E4" i="16"/>
  <c r="F4" i="16"/>
  <c r="G4" i="16"/>
  <c r="J4" i="16"/>
  <c r="F5" i="16"/>
  <c r="D6" i="16"/>
  <c r="E6" i="16"/>
  <c r="F6" i="16"/>
  <c r="H6" i="16"/>
  <c r="K6" i="16"/>
  <c r="D7" i="16"/>
  <c r="E7" i="16"/>
  <c r="F7" i="16"/>
  <c r="H7" i="16"/>
  <c r="K7" i="16"/>
  <c r="D8" i="16"/>
  <c r="E8" i="16"/>
  <c r="F8" i="16"/>
  <c r="H8" i="16"/>
  <c r="K8" i="16"/>
  <c r="D9" i="16"/>
  <c r="E9" i="16"/>
  <c r="F9" i="16"/>
  <c r="H9" i="16"/>
  <c r="K9" i="16"/>
  <c r="D10" i="16"/>
  <c r="E10" i="16"/>
  <c r="F10" i="16"/>
  <c r="H10" i="16"/>
  <c r="K10" i="16"/>
  <c r="D11" i="16"/>
  <c r="E11" i="16"/>
  <c r="F11" i="16"/>
  <c r="H11" i="16"/>
  <c r="K11" i="16"/>
  <c r="D12" i="16"/>
  <c r="E12" i="16"/>
  <c r="F12" i="16"/>
  <c r="H12" i="16"/>
  <c r="K12" i="16"/>
  <c r="D13" i="16"/>
  <c r="E13" i="16"/>
  <c r="F13" i="16"/>
  <c r="H13" i="16"/>
  <c r="K13" i="16"/>
  <c r="D14" i="16"/>
  <c r="E14" i="16"/>
  <c r="F14" i="16"/>
  <c r="H14" i="16"/>
  <c r="K14" i="16"/>
  <c r="D15" i="16"/>
  <c r="E15" i="16"/>
  <c r="F15" i="16"/>
  <c r="H15" i="16"/>
  <c r="K15" i="16"/>
  <c r="D16" i="16"/>
  <c r="E16" i="16"/>
  <c r="F16" i="16"/>
  <c r="H16" i="16"/>
  <c r="K16" i="16"/>
  <c r="D17" i="16"/>
  <c r="E17" i="16"/>
  <c r="F17" i="16"/>
  <c r="H17" i="16"/>
  <c r="K17" i="16"/>
  <c r="D21" i="16"/>
  <c r="E21" i="16"/>
  <c r="F21" i="16"/>
  <c r="H21" i="16"/>
  <c r="K21" i="16"/>
  <c r="C27" i="16"/>
  <c r="C2" i="16"/>
  <c r="B3" i="16"/>
  <c r="B4" i="16"/>
  <c r="C4" i="16"/>
  <c r="B5" i="16"/>
  <c r="B6" i="16"/>
  <c r="B7" i="16"/>
  <c r="B8" i="16"/>
  <c r="B9" i="16"/>
  <c r="B10" i="16"/>
  <c r="B11" i="16"/>
  <c r="B12" i="16"/>
  <c r="B13" i="16"/>
  <c r="B14" i="16"/>
  <c r="B15" i="16"/>
  <c r="B16" i="16"/>
  <c r="C16" i="16"/>
  <c r="E57" i="16" l="1"/>
  <c r="E56" i="16"/>
  <c r="E58" i="16"/>
  <c r="B182" i="23"/>
  <c r="B118" i="23"/>
  <c r="AD234" i="23"/>
  <c r="AD42" i="23"/>
  <c r="B248" i="23"/>
  <c r="B235" i="23"/>
  <c r="B222" i="23"/>
  <c r="B54" i="23"/>
  <c r="B42" i="23"/>
  <c r="B30" i="23"/>
  <c r="AG19" i="23"/>
  <c r="AG21" i="23"/>
  <c r="AG16" i="23"/>
  <c r="AG17" i="23"/>
  <c r="AG18" i="23"/>
  <c r="AD245" i="23"/>
  <c r="BB250" i="23"/>
  <c r="AZ250" i="23"/>
  <c r="AW250" i="23"/>
  <c r="AU250" i="23"/>
  <c r="AR250" i="23"/>
  <c r="AP250" i="23"/>
  <c r="AM250" i="23"/>
  <c r="AK250" i="23"/>
  <c r="AH250" i="23"/>
  <c r="AG250" i="23"/>
  <c r="AF250" i="23"/>
  <c r="AE250" i="23"/>
  <c r="BB249" i="23"/>
  <c r="BA249" i="23"/>
  <c r="AZ249" i="23"/>
  <c r="AY249" i="23"/>
  <c r="AW249" i="23"/>
  <c r="AV249" i="23"/>
  <c r="AU249" i="23"/>
  <c r="AT249" i="23"/>
  <c r="AR249" i="23"/>
  <c r="AQ249" i="23"/>
  <c r="AP249" i="23"/>
  <c r="AO249" i="23"/>
  <c r="AM249" i="23"/>
  <c r="AL249" i="23"/>
  <c r="AK249" i="23"/>
  <c r="AJ249" i="23"/>
  <c r="AH249" i="23"/>
  <c r="AG249" i="23"/>
  <c r="AF249" i="23"/>
  <c r="AE249" i="23"/>
  <c r="BB248" i="23"/>
  <c r="AZ248" i="23"/>
  <c r="AW248" i="23"/>
  <c r="AU248" i="23"/>
  <c r="AR248" i="23"/>
  <c r="AP248" i="23"/>
  <c r="AM248" i="23"/>
  <c r="AK248" i="23"/>
  <c r="AH248" i="23"/>
  <c r="AF248" i="23"/>
  <c r="BB247" i="23"/>
  <c r="BA247" i="23"/>
  <c r="AZ247" i="23"/>
  <c r="AY247" i="23"/>
  <c r="AW247" i="23"/>
  <c r="AV247" i="23"/>
  <c r="AU247" i="23"/>
  <c r="AT247" i="23"/>
  <c r="AR247" i="23"/>
  <c r="AQ247" i="23"/>
  <c r="AP247" i="23"/>
  <c r="AO247" i="23"/>
  <c r="AM247" i="23"/>
  <c r="AL247" i="23"/>
  <c r="AK247" i="23"/>
  <c r="AJ247" i="23"/>
  <c r="AH247" i="23"/>
  <c r="AG247" i="23"/>
  <c r="AF247" i="23"/>
  <c r="AE247" i="23"/>
  <c r="BB246" i="23"/>
  <c r="BA246" i="23"/>
  <c r="AZ246" i="23"/>
  <c r="AY246" i="23"/>
  <c r="AW246" i="23"/>
  <c r="AV246" i="23"/>
  <c r="AU246" i="23"/>
  <c r="AT246" i="23"/>
  <c r="AN246" i="23"/>
  <c r="AP246" i="23" s="1"/>
  <c r="AI246" i="23"/>
  <c r="AF246" i="23"/>
  <c r="AD246" i="23"/>
  <c r="AH246" i="23" s="1"/>
  <c r="AX245" i="23"/>
  <c r="AS245" i="23"/>
  <c r="AN245" i="23"/>
  <c r="AI245" i="23"/>
  <c r="AH245" i="23"/>
  <c r="AH251" i="23" s="1"/>
  <c r="BB238" i="23"/>
  <c r="AZ238" i="23"/>
  <c r="AW238" i="23"/>
  <c r="AU238" i="23"/>
  <c r="AR238" i="23"/>
  <c r="AP238" i="23"/>
  <c r="AM238" i="23"/>
  <c r="AK238" i="23"/>
  <c r="AH238" i="23"/>
  <c r="AG238" i="23"/>
  <c r="AF238" i="23"/>
  <c r="AE238" i="23"/>
  <c r="BB237" i="23"/>
  <c r="BA237" i="23"/>
  <c r="AZ237" i="23"/>
  <c r="AY237" i="23"/>
  <c r="AW237" i="23"/>
  <c r="AV237" i="23"/>
  <c r="AU237" i="23"/>
  <c r="AT237" i="23"/>
  <c r="AR237" i="23"/>
  <c r="AQ237" i="23"/>
  <c r="AP237" i="23"/>
  <c r="AO237" i="23"/>
  <c r="AM237" i="23"/>
  <c r="AL237" i="23"/>
  <c r="AK237" i="23"/>
  <c r="AJ237" i="23"/>
  <c r="AH237" i="23"/>
  <c r="AG237" i="23"/>
  <c r="AF237" i="23"/>
  <c r="AE237" i="23"/>
  <c r="BB236" i="23"/>
  <c r="AZ236" i="23"/>
  <c r="AW236" i="23"/>
  <c r="AU236" i="23"/>
  <c r="AR236" i="23"/>
  <c r="AP236" i="23"/>
  <c r="AM236" i="23"/>
  <c r="AK236" i="23"/>
  <c r="AH236" i="23"/>
  <c r="AF236" i="23"/>
  <c r="BB235" i="23"/>
  <c r="BA235" i="23"/>
  <c r="AZ235" i="23"/>
  <c r="AY235" i="23"/>
  <c r="AW235" i="23"/>
  <c r="AV235" i="23"/>
  <c r="AU235" i="23"/>
  <c r="AT235" i="23"/>
  <c r="AR235" i="23"/>
  <c r="AQ235" i="23"/>
  <c r="AP235" i="23"/>
  <c r="AO235" i="23"/>
  <c r="AM235" i="23"/>
  <c r="AL235" i="23"/>
  <c r="AK235" i="23"/>
  <c r="AJ235" i="23"/>
  <c r="AH235" i="23"/>
  <c r="AG235" i="23"/>
  <c r="AF235" i="23"/>
  <c r="AE235" i="23"/>
  <c r="BB234" i="23"/>
  <c r="BA234" i="23"/>
  <c r="AZ234" i="23"/>
  <c r="AY234" i="23"/>
  <c r="AW234" i="23"/>
  <c r="AV234" i="23"/>
  <c r="AU234" i="23"/>
  <c r="AT234" i="23"/>
  <c r="AD233" i="23"/>
  <c r="AS233" i="23" s="1"/>
  <c r="BB226" i="23"/>
  <c r="AZ226" i="23"/>
  <c r="AW226" i="23"/>
  <c r="AU226" i="23"/>
  <c r="AR226" i="23"/>
  <c r="AP226" i="23"/>
  <c r="AM226" i="23"/>
  <c r="AK226" i="23"/>
  <c r="AH226" i="23"/>
  <c r="AG226" i="23"/>
  <c r="AF226" i="23"/>
  <c r="AE226" i="23"/>
  <c r="BB225" i="23"/>
  <c r="BA225" i="23"/>
  <c r="AZ225" i="23"/>
  <c r="AY225" i="23"/>
  <c r="AW225" i="23"/>
  <c r="AV225" i="23"/>
  <c r="AU225" i="23"/>
  <c r="AT225" i="23"/>
  <c r="AR225" i="23"/>
  <c r="AQ225" i="23"/>
  <c r="AP225" i="23"/>
  <c r="AO225" i="23"/>
  <c r="AM225" i="23"/>
  <c r="AL225" i="23"/>
  <c r="AK225" i="23"/>
  <c r="AJ225" i="23"/>
  <c r="AH225" i="23"/>
  <c r="AG225" i="23"/>
  <c r="AF225" i="23"/>
  <c r="AE225" i="23"/>
  <c r="BB224" i="23"/>
  <c r="AZ224" i="23"/>
  <c r="AW224" i="23"/>
  <c r="AU224" i="23"/>
  <c r="AR224" i="23"/>
  <c r="AP224" i="23"/>
  <c r="AM224" i="23"/>
  <c r="AK224" i="23"/>
  <c r="AH224" i="23"/>
  <c r="AF224" i="23"/>
  <c r="BB223" i="23"/>
  <c r="BA223" i="23"/>
  <c r="AZ223" i="23"/>
  <c r="AY223" i="23"/>
  <c r="AW223" i="23"/>
  <c r="AV223" i="23"/>
  <c r="AU223" i="23"/>
  <c r="AT223" i="23"/>
  <c r="AR223" i="23"/>
  <c r="AQ223" i="23"/>
  <c r="AP223" i="23"/>
  <c r="AO223" i="23"/>
  <c r="AM223" i="23"/>
  <c r="AL223" i="23"/>
  <c r="AK223" i="23"/>
  <c r="AJ223" i="23"/>
  <c r="AH223" i="23"/>
  <c r="AG223" i="23"/>
  <c r="AF223" i="23"/>
  <c r="AE223" i="23"/>
  <c r="BB222" i="23"/>
  <c r="BA222" i="23"/>
  <c r="AZ222" i="23"/>
  <c r="AY222" i="23"/>
  <c r="AW222" i="23"/>
  <c r="AV222" i="23"/>
  <c r="AU222" i="23"/>
  <c r="AT222" i="23"/>
  <c r="AN222" i="23"/>
  <c r="AP222" i="23" s="1"/>
  <c r="AI222" i="23"/>
  <c r="AF222" i="23"/>
  <c r="AD222" i="23"/>
  <c r="AH222" i="23" s="1"/>
  <c r="AX221" i="23"/>
  <c r="AS221" i="23"/>
  <c r="AN221" i="23"/>
  <c r="AI221" i="23"/>
  <c r="AF221" i="23"/>
  <c r="AF227" i="23" s="1"/>
  <c r="AD221" i="23"/>
  <c r="AH221" i="23" s="1"/>
  <c r="AH227" i="23" s="1"/>
  <c r="AD207" i="23"/>
  <c r="AD194" i="23"/>
  <c r="AI194" i="23" s="1"/>
  <c r="AD182" i="23"/>
  <c r="BB212" i="23"/>
  <c r="BA212" i="23"/>
  <c r="AZ212" i="23"/>
  <c r="AY212" i="23"/>
  <c r="AW212" i="23"/>
  <c r="AV212" i="23"/>
  <c r="AU212" i="23"/>
  <c r="AT212" i="23"/>
  <c r="AR212" i="23"/>
  <c r="AQ212" i="23"/>
  <c r="AP212" i="23"/>
  <c r="AO212" i="23"/>
  <c r="AM212" i="23"/>
  <c r="AL212" i="23"/>
  <c r="AK212" i="23"/>
  <c r="AJ212" i="23"/>
  <c r="AH212" i="23"/>
  <c r="AG212" i="23"/>
  <c r="AF212" i="23"/>
  <c r="AE212" i="23"/>
  <c r="BB211" i="23"/>
  <c r="BA211" i="23"/>
  <c r="AZ211" i="23"/>
  <c r="AY211" i="23"/>
  <c r="AW211" i="23"/>
  <c r="AV211" i="23"/>
  <c r="AU211" i="23"/>
  <c r="AT211" i="23"/>
  <c r="AR211" i="23"/>
  <c r="AQ211" i="23"/>
  <c r="AP211" i="23"/>
  <c r="AO211" i="23"/>
  <c r="AM211" i="23"/>
  <c r="AL211" i="23"/>
  <c r="AK211" i="23"/>
  <c r="AJ211" i="23"/>
  <c r="AH211" i="23"/>
  <c r="AG211" i="23"/>
  <c r="AF211" i="23"/>
  <c r="AE211" i="23"/>
  <c r="BB210" i="23"/>
  <c r="AZ210" i="23"/>
  <c r="AW210" i="23"/>
  <c r="AU210" i="23"/>
  <c r="AR210" i="23"/>
  <c r="AP210" i="23"/>
  <c r="AM210" i="23"/>
  <c r="AK210" i="23"/>
  <c r="AH210" i="23"/>
  <c r="AF210" i="23"/>
  <c r="BB209" i="23"/>
  <c r="BA209" i="23"/>
  <c r="AZ209" i="23"/>
  <c r="AY209" i="23"/>
  <c r="AW209" i="23"/>
  <c r="AV209" i="23"/>
  <c r="AU209" i="23"/>
  <c r="AT209" i="23"/>
  <c r="AR209" i="23"/>
  <c r="AQ209" i="23"/>
  <c r="AP209" i="23"/>
  <c r="AO209" i="23"/>
  <c r="AM209" i="23"/>
  <c r="AL209" i="23"/>
  <c r="AK209" i="23"/>
  <c r="AJ209" i="23"/>
  <c r="AH209" i="23"/>
  <c r="AG209" i="23"/>
  <c r="AF209" i="23"/>
  <c r="AE209" i="23"/>
  <c r="BB208" i="23"/>
  <c r="BA208" i="23"/>
  <c r="AZ208" i="23"/>
  <c r="AY208" i="23"/>
  <c r="AW208" i="23"/>
  <c r="AV208" i="23"/>
  <c r="AU208" i="23"/>
  <c r="AT208" i="23"/>
  <c r="AR208" i="23"/>
  <c r="AQ208" i="23"/>
  <c r="AP208" i="23"/>
  <c r="AO208" i="23"/>
  <c r="AM208" i="23"/>
  <c r="AL208" i="23"/>
  <c r="AK208" i="23"/>
  <c r="AJ208" i="23"/>
  <c r="AH208" i="23"/>
  <c r="AG208" i="23"/>
  <c r="AF208" i="23"/>
  <c r="AE208" i="23"/>
  <c r="AX207" i="23"/>
  <c r="AH207" i="23"/>
  <c r="AH213" i="23" s="1"/>
  <c r="BB199" i="23"/>
  <c r="BA199" i="23"/>
  <c r="AZ199" i="23"/>
  <c r="AY199" i="23"/>
  <c r="AW199" i="23"/>
  <c r="AV199" i="23"/>
  <c r="AU199" i="23"/>
  <c r="AT199" i="23"/>
  <c r="AR199" i="23"/>
  <c r="AQ199" i="23"/>
  <c r="AP199" i="23"/>
  <c r="AO199" i="23"/>
  <c r="AM199" i="23"/>
  <c r="AL199" i="23"/>
  <c r="AK199" i="23"/>
  <c r="AJ199" i="23"/>
  <c r="AH199" i="23"/>
  <c r="AG199" i="23"/>
  <c r="AF199" i="23"/>
  <c r="AE199" i="23"/>
  <c r="BB198" i="23"/>
  <c r="AZ198" i="23"/>
  <c r="AW198" i="23"/>
  <c r="AU198" i="23"/>
  <c r="AR198" i="23"/>
  <c r="AP198" i="23"/>
  <c r="AM198" i="23"/>
  <c r="AK198" i="23"/>
  <c r="AH198" i="23"/>
  <c r="AF198" i="23"/>
  <c r="BB197" i="23"/>
  <c r="BA197" i="23"/>
  <c r="AZ197" i="23"/>
  <c r="AY197" i="23"/>
  <c r="AW197" i="23"/>
  <c r="AV197" i="23"/>
  <c r="AU197" i="23"/>
  <c r="AT197" i="23"/>
  <c r="AR197" i="23"/>
  <c r="AQ197" i="23"/>
  <c r="AP197" i="23"/>
  <c r="AO197" i="23"/>
  <c r="AM197" i="23"/>
  <c r="AL197" i="23"/>
  <c r="AK197" i="23"/>
  <c r="AJ197" i="23"/>
  <c r="AH197" i="23"/>
  <c r="AG197" i="23"/>
  <c r="AF197" i="23"/>
  <c r="AE197" i="23"/>
  <c r="BB196" i="23"/>
  <c r="BA196" i="23"/>
  <c r="AZ196" i="23"/>
  <c r="AY196" i="23"/>
  <c r="AW196" i="23"/>
  <c r="AV196" i="23"/>
  <c r="AU196" i="23"/>
  <c r="AT196" i="23"/>
  <c r="AR196" i="23"/>
  <c r="AQ196" i="23"/>
  <c r="AP196" i="23"/>
  <c r="AO196" i="23"/>
  <c r="AM196" i="23"/>
  <c r="AL196" i="23"/>
  <c r="AK196" i="23"/>
  <c r="AJ196" i="23"/>
  <c r="AH196" i="23"/>
  <c r="AG196" i="23"/>
  <c r="AF196" i="23"/>
  <c r="AE196" i="23"/>
  <c r="BB195" i="23"/>
  <c r="BA195" i="23"/>
  <c r="AZ195" i="23"/>
  <c r="AY195" i="23"/>
  <c r="AW195" i="23"/>
  <c r="AV195" i="23"/>
  <c r="AU195" i="23"/>
  <c r="AT195" i="23"/>
  <c r="AR195" i="23"/>
  <c r="AQ195" i="23"/>
  <c r="AP195" i="23"/>
  <c r="AO195" i="23"/>
  <c r="AM195" i="23"/>
  <c r="AL195" i="23"/>
  <c r="AK195" i="23"/>
  <c r="AJ195" i="23"/>
  <c r="AH195" i="23"/>
  <c r="AG195" i="23"/>
  <c r="AF195" i="23"/>
  <c r="AE195" i="23"/>
  <c r="AN194" i="23"/>
  <c r="BB187" i="23"/>
  <c r="BA187" i="23"/>
  <c r="AZ187" i="23"/>
  <c r="AY187" i="23"/>
  <c r="AW187" i="23"/>
  <c r="AV187" i="23"/>
  <c r="AU187" i="23"/>
  <c r="AT187" i="23"/>
  <c r="AR187" i="23"/>
  <c r="AQ187" i="23"/>
  <c r="AP187" i="23"/>
  <c r="AO187" i="23"/>
  <c r="AM187" i="23"/>
  <c r="AL187" i="23"/>
  <c r="AK187" i="23"/>
  <c r="AJ187" i="23"/>
  <c r="AH187" i="23"/>
  <c r="AG187" i="23"/>
  <c r="AF187" i="23"/>
  <c r="AE187" i="23"/>
  <c r="BB186" i="23"/>
  <c r="BA186" i="23"/>
  <c r="AZ186" i="23"/>
  <c r="AY186" i="23"/>
  <c r="AW186" i="23"/>
  <c r="AV186" i="23"/>
  <c r="AU186" i="23"/>
  <c r="AT186" i="23"/>
  <c r="AR186" i="23"/>
  <c r="AQ186" i="23"/>
  <c r="AP186" i="23"/>
  <c r="AO186" i="23"/>
  <c r="AM186" i="23"/>
  <c r="AL186" i="23"/>
  <c r="AK186" i="23"/>
  <c r="AJ186" i="23"/>
  <c r="AH186" i="23"/>
  <c r="AG186" i="23"/>
  <c r="AF186" i="23"/>
  <c r="AE186" i="23"/>
  <c r="BB185" i="23"/>
  <c r="AZ185" i="23"/>
  <c r="AW185" i="23"/>
  <c r="AU185" i="23"/>
  <c r="AR185" i="23"/>
  <c r="AP185" i="23"/>
  <c r="AM185" i="23"/>
  <c r="AK185" i="23"/>
  <c r="AH185" i="23"/>
  <c r="AF185" i="23"/>
  <c r="BB184" i="23"/>
  <c r="BA184" i="23"/>
  <c r="AZ184" i="23"/>
  <c r="AY184" i="23"/>
  <c r="AW184" i="23"/>
  <c r="AV184" i="23"/>
  <c r="AU184" i="23"/>
  <c r="AT184" i="23"/>
  <c r="AR184" i="23"/>
  <c r="AQ184" i="23"/>
  <c r="AP184" i="23"/>
  <c r="AO184" i="23"/>
  <c r="AM184" i="23"/>
  <c r="AL184" i="23"/>
  <c r="AK184" i="23"/>
  <c r="AJ184" i="23"/>
  <c r="AH184" i="23"/>
  <c r="AG184" i="23"/>
  <c r="AF184" i="23"/>
  <c r="AE184" i="23"/>
  <c r="BB183" i="23"/>
  <c r="BA183" i="23"/>
  <c r="AZ183" i="23"/>
  <c r="AY183" i="23"/>
  <c r="AW183" i="23"/>
  <c r="AV183" i="23"/>
  <c r="AU183" i="23"/>
  <c r="AT183" i="23"/>
  <c r="AR183" i="23"/>
  <c r="AQ183" i="23"/>
  <c r="AP183" i="23"/>
  <c r="AO183" i="23"/>
  <c r="AM183" i="23"/>
  <c r="AL183" i="23"/>
  <c r="AK183" i="23"/>
  <c r="AJ183" i="23"/>
  <c r="AH183" i="23"/>
  <c r="AG183" i="23"/>
  <c r="AF183" i="23"/>
  <c r="AE183" i="23"/>
  <c r="AN234" i="23" l="1"/>
  <c r="AR234" i="23" s="1"/>
  <c r="AF245" i="23"/>
  <c r="AF251" i="23" s="1"/>
  <c r="AX233" i="23"/>
  <c r="AI233" i="23"/>
  <c r="AH234" i="23"/>
  <c r="AM222" i="23"/>
  <c r="AH233" i="23"/>
  <c r="AM246" i="23"/>
  <c r="AK222" i="23"/>
  <c r="AF233" i="23"/>
  <c r="AN233" i="23"/>
  <c r="AI234" i="23"/>
  <c r="AK246" i="23"/>
  <c r="AR222" i="23"/>
  <c r="AR246" i="23"/>
  <c r="AF234" i="23"/>
  <c r="AX182" i="23"/>
  <c r="AI182" i="23"/>
  <c r="AF182" i="23"/>
  <c r="AF188" i="23" s="1"/>
  <c r="AN182" i="23"/>
  <c r="AH182" i="23"/>
  <c r="AH188" i="23" s="1"/>
  <c r="AS182" i="23"/>
  <c r="AS194" i="23"/>
  <c r="AS207" i="23"/>
  <c r="AI207" i="23"/>
  <c r="AF207" i="23"/>
  <c r="AF213" i="23" s="1"/>
  <c r="AN207" i="23"/>
  <c r="AH194" i="23"/>
  <c r="AH200" i="23" s="1"/>
  <c r="AX194" i="23"/>
  <c r="AF194" i="23"/>
  <c r="AF200" i="23" s="1"/>
  <c r="AD168" i="23"/>
  <c r="BB173" i="23"/>
  <c r="BA173" i="23"/>
  <c r="AZ173" i="23"/>
  <c r="AY173" i="23"/>
  <c r="AW173" i="23"/>
  <c r="AV173" i="23"/>
  <c r="AU173" i="23"/>
  <c r="AT173" i="23"/>
  <c r="AR173" i="23"/>
  <c r="AQ173" i="23"/>
  <c r="AP173" i="23"/>
  <c r="AO173" i="23"/>
  <c r="AM173" i="23"/>
  <c r="AL173" i="23"/>
  <c r="AK173" i="23"/>
  <c r="AJ173" i="23"/>
  <c r="AH173" i="23"/>
  <c r="AG173" i="23"/>
  <c r="AF173" i="23"/>
  <c r="AE173" i="23"/>
  <c r="BB172" i="23"/>
  <c r="AZ172" i="23"/>
  <c r="AW172" i="23"/>
  <c r="AU172" i="23"/>
  <c r="AR172" i="23"/>
  <c r="AP172" i="23"/>
  <c r="AM172" i="23"/>
  <c r="AK172" i="23"/>
  <c r="AH172" i="23"/>
  <c r="AF172" i="23"/>
  <c r="BB171" i="23"/>
  <c r="BA171" i="23"/>
  <c r="AZ171" i="23"/>
  <c r="AY171" i="23"/>
  <c r="AW171" i="23"/>
  <c r="AV171" i="23"/>
  <c r="AU171" i="23"/>
  <c r="AT171" i="23"/>
  <c r="AR171" i="23"/>
  <c r="AQ171" i="23"/>
  <c r="AP171" i="23"/>
  <c r="AO171" i="23"/>
  <c r="AM171" i="23"/>
  <c r="AL171" i="23"/>
  <c r="AK171" i="23"/>
  <c r="AJ171" i="23"/>
  <c r="AH171" i="23"/>
  <c r="AG171" i="23"/>
  <c r="AF171" i="23"/>
  <c r="AE171" i="23"/>
  <c r="BB170" i="23"/>
  <c r="BA170" i="23"/>
  <c r="AZ170" i="23"/>
  <c r="AY170" i="23"/>
  <c r="AW170" i="23"/>
  <c r="AV170" i="23"/>
  <c r="AU170" i="23"/>
  <c r="AT170" i="23"/>
  <c r="AR170" i="23"/>
  <c r="AQ170" i="23"/>
  <c r="AP170" i="23"/>
  <c r="AO170" i="23"/>
  <c r="AM170" i="23"/>
  <c r="AL170" i="23"/>
  <c r="AK170" i="23"/>
  <c r="AJ170" i="23"/>
  <c r="AH170" i="23"/>
  <c r="AG170" i="23"/>
  <c r="AF170" i="23"/>
  <c r="AE170" i="23"/>
  <c r="BB169" i="23"/>
  <c r="BA169" i="23"/>
  <c r="AZ169" i="23"/>
  <c r="AY169" i="23"/>
  <c r="AW169" i="23"/>
  <c r="AV169" i="23"/>
  <c r="AU169" i="23"/>
  <c r="AT169" i="23"/>
  <c r="AR169" i="23"/>
  <c r="AQ169" i="23"/>
  <c r="AP169" i="23"/>
  <c r="AO169" i="23"/>
  <c r="AM169" i="23"/>
  <c r="AL169" i="23"/>
  <c r="AK169" i="23"/>
  <c r="AJ169" i="23"/>
  <c r="AH169" i="23"/>
  <c r="AG169" i="23"/>
  <c r="AF169" i="23"/>
  <c r="AE169" i="23"/>
  <c r="AS168" i="23"/>
  <c r="AI168" i="23"/>
  <c r="AF168" i="23"/>
  <c r="AN168" i="23"/>
  <c r="AD155" i="23"/>
  <c r="AN155" i="23" s="1"/>
  <c r="BB160" i="23"/>
  <c r="BA160" i="23"/>
  <c r="AZ160" i="23"/>
  <c r="AY160" i="23"/>
  <c r="AW160" i="23"/>
  <c r="AV160" i="23"/>
  <c r="AU160" i="23"/>
  <c r="AT160" i="23"/>
  <c r="AR160" i="23"/>
  <c r="AQ160" i="23"/>
  <c r="AP160" i="23"/>
  <c r="AO160" i="23"/>
  <c r="AM160" i="23"/>
  <c r="AL160" i="23"/>
  <c r="AK160" i="23"/>
  <c r="AJ160" i="23"/>
  <c r="AH160" i="23"/>
  <c r="AG160" i="23"/>
  <c r="AF160" i="23"/>
  <c r="AE160" i="23"/>
  <c r="BB159" i="23"/>
  <c r="BA159" i="23"/>
  <c r="AZ159" i="23"/>
  <c r="AY159" i="23"/>
  <c r="AW159" i="23"/>
  <c r="AV159" i="23"/>
  <c r="AU159" i="23"/>
  <c r="AT159" i="23"/>
  <c r="AR159" i="23"/>
  <c r="AQ159" i="23"/>
  <c r="AP159" i="23"/>
  <c r="AO159" i="23"/>
  <c r="AM159" i="23"/>
  <c r="AL159" i="23"/>
  <c r="AK159" i="23"/>
  <c r="AJ159" i="23"/>
  <c r="AH159" i="23"/>
  <c r="AG159" i="23"/>
  <c r="AF159" i="23"/>
  <c r="AE159" i="23"/>
  <c r="BB158" i="23"/>
  <c r="AZ158" i="23"/>
  <c r="AW158" i="23"/>
  <c r="AU158" i="23"/>
  <c r="AR158" i="23"/>
  <c r="AP158" i="23"/>
  <c r="AM158" i="23"/>
  <c r="AK158" i="23"/>
  <c r="AH158" i="23"/>
  <c r="AF158" i="23"/>
  <c r="BB157" i="23"/>
  <c r="BA157" i="23"/>
  <c r="AZ157" i="23"/>
  <c r="AY157" i="23"/>
  <c r="AW157" i="23"/>
  <c r="AV157" i="23"/>
  <c r="AU157" i="23"/>
  <c r="AT157" i="23"/>
  <c r="AR157" i="23"/>
  <c r="AQ157" i="23"/>
  <c r="AP157" i="23"/>
  <c r="AO157" i="23"/>
  <c r="AM157" i="23"/>
  <c r="AL157" i="23"/>
  <c r="AK157" i="23"/>
  <c r="AJ157" i="23"/>
  <c r="AH157" i="23"/>
  <c r="AG157" i="23"/>
  <c r="AF157" i="23"/>
  <c r="AE157" i="23"/>
  <c r="BB156" i="23"/>
  <c r="BA156" i="23"/>
  <c r="AZ156" i="23"/>
  <c r="AY156" i="23"/>
  <c r="AW156" i="23"/>
  <c r="AV156" i="23"/>
  <c r="AU156" i="23"/>
  <c r="AT156" i="23"/>
  <c r="AR156" i="23"/>
  <c r="AQ156" i="23"/>
  <c r="AP156" i="23"/>
  <c r="AO156" i="23"/>
  <c r="AM156" i="23"/>
  <c r="AL156" i="23"/>
  <c r="AK156" i="23"/>
  <c r="AJ156" i="23"/>
  <c r="AH156" i="23"/>
  <c r="AG156" i="23"/>
  <c r="AF156" i="23"/>
  <c r="AE156" i="23"/>
  <c r="AD142" i="23"/>
  <c r="AI142" i="23" s="1"/>
  <c r="BB147" i="23"/>
  <c r="AZ147" i="23"/>
  <c r="AW147" i="23"/>
  <c r="AU147" i="23"/>
  <c r="AR147" i="23"/>
  <c r="AP147" i="23"/>
  <c r="AM147" i="23"/>
  <c r="AK147" i="23"/>
  <c r="AH147" i="23"/>
  <c r="AG147" i="23"/>
  <c r="AF147" i="23"/>
  <c r="AE147" i="23"/>
  <c r="BB146" i="23"/>
  <c r="BA146" i="23"/>
  <c r="AZ146" i="23"/>
  <c r="AY146" i="23"/>
  <c r="AW146" i="23"/>
  <c r="AV146" i="23"/>
  <c r="AU146" i="23"/>
  <c r="AT146" i="23"/>
  <c r="AR146" i="23"/>
  <c r="AQ146" i="23"/>
  <c r="AP146" i="23"/>
  <c r="AO146" i="23"/>
  <c r="AM146" i="23"/>
  <c r="AL146" i="23"/>
  <c r="AK146" i="23"/>
  <c r="AJ146" i="23"/>
  <c r="AH146" i="23"/>
  <c r="AG146" i="23"/>
  <c r="AF146" i="23"/>
  <c r="AE146" i="23"/>
  <c r="BB145" i="23"/>
  <c r="AZ145" i="23"/>
  <c r="AW145" i="23"/>
  <c r="AU145" i="23"/>
  <c r="AR145" i="23"/>
  <c r="AP145" i="23"/>
  <c r="AM145" i="23"/>
  <c r="AK145" i="23"/>
  <c r="AH145" i="23"/>
  <c r="AF145" i="23"/>
  <c r="BB144" i="23"/>
  <c r="BA144" i="23"/>
  <c r="AZ144" i="23"/>
  <c r="AY144" i="23"/>
  <c r="AW144" i="23"/>
  <c r="AV144" i="23"/>
  <c r="AU144" i="23"/>
  <c r="AT144" i="23"/>
  <c r="AR144" i="23"/>
  <c r="AQ144" i="23"/>
  <c r="AP144" i="23"/>
  <c r="AO144" i="23"/>
  <c r="AM144" i="23"/>
  <c r="AL144" i="23"/>
  <c r="AK144" i="23"/>
  <c r="AJ144" i="23"/>
  <c r="AH144" i="23"/>
  <c r="AG144" i="23"/>
  <c r="AF144" i="23"/>
  <c r="AE144" i="23"/>
  <c r="BB143" i="23"/>
  <c r="BA143" i="23"/>
  <c r="AZ143" i="23"/>
  <c r="AY143" i="23"/>
  <c r="AW143" i="23"/>
  <c r="AV143" i="23"/>
  <c r="AU143" i="23"/>
  <c r="AT143" i="23"/>
  <c r="AD143" i="23"/>
  <c r="AH143" i="23" s="1"/>
  <c r="AP234" i="23" l="1"/>
  <c r="AH239" i="23"/>
  <c r="AG20" i="23" s="1"/>
  <c r="AF239" i="23"/>
  <c r="AM234" i="23"/>
  <c r="AK234" i="23"/>
  <c r="AF174" i="23"/>
  <c r="AH168" i="23"/>
  <c r="AH174" i="23" s="1"/>
  <c r="AX168" i="23"/>
  <c r="AX155" i="23"/>
  <c r="AS155" i="23"/>
  <c r="AI155" i="23"/>
  <c r="AH155" i="23"/>
  <c r="AH161" i="23" s="1"/>
  <c r="AG14" i="23" s="1"/>
  <c r="AF155" i="23"/>
  <c r="AF161" i="23" s="1"/>
  <c r="AH142" i="23"/>
  <c r="AH148" i="23" s="1"/>
  <c r="AG15" i="23" s="1"/>
  <c r="AX142" i="23"/>
  <c r="AF142" i="23"/>
  <c r="AN142" i="23"/>
  <c r="AI143" i="23"/>
  <c r="AS142" i="23"/>
  <c r="AF143" i="23"/>
  <c r="AN143" i="23"/>
  <c r="BB134" i="23"/>
  <c r="BA134" i="23"/>
  <c r="AZ134" i="23"/>
  <c r="AY134" i="23"/>
  <c r="AW134" i="23"/>
  <c r="AV134" i="23"/>
  <c r="AU134" i="23"/>
  <c r="AT134" i="23"/>
  <c r="AR134" i="23"/>
  <c r="AQ134" i="23"/>
  <c r="AP134" i="23"/>
  <c r="AO134" i="23"/>
  <c r="AM134" i="23"/>
  <c r="AL134" i="23"/>
  <c r="AK134" i="23"/>
  <c r="AJ134" i="23"/>
  <c r="AH134" i="23"/>
  <c r="AG134" i="23"/>
  <c r="AF134" i="23"/>
  <c r="AE134" i="23"/>
  <c r="BB133" i="23"/>
  <c r="AZ133" i="23"/>
  <c r="AW133" i="23"/>
  <c r="AU133" i="23"/>
  <c r="AR133" i="23"/>
  <c r="AP133" i="23"/>
  <c r="AM133" i="23"/>
  <c r="AK133" i="23"/>
  <c r="AH133" i="23"/>
  <c r="AF133" i="23"/>
  <c r="BB132" i="23"/>
  <c r="BA132" i="23"/>
  <c r="AZ132" i="23"/>
  <c r="AY132" i="23"/>
  <c r="AW132" i="23"/>
  <c r="AV132" i="23"/>
  <c r="AU132" i="23"/>
  <c r="AT132" i="23"/>
  <c r="AR132" i="23"/>
  <c r="AQ132" i="23"/>
  <c r="AP132" i="23"/>
  <c r="AO132" i="23"/>
  <c r="AM132" i="23"/>
  <c r="AL132" i="23"/>
  <c r="AK132" i="23"/>
  <c r="AJ132" i="23"/>
  <c r="AH132" i="23"/>
  <c r="AG132" i="23"/>
  <c r="AF132" i="23"/>
  <c r="AE132" i="23"/>
  <c r="BB131" i="23"/>
  <c r="BA131" i="23"/>
  <c r="AZ131" i="23"/>
  <c r="AY131" i="23"/>
  <c r="AW131" i="23"/>
  <c r="AV131" i="23"/>
  <c r="AU131" i="23"/>
  <c r="AT131" i="23"/>
  <c r="AR131" i="23"/>
  <c r="AQ131" i="23"/>
  <c r="AP131" i="23"/>
  <c r="AO131" i="23"/>
  <c r="AM131" i="23"/>
  <c r="AL131" i="23"/>
  <c r="AK131" i="23"/>
  <c r="AJ131" i="23"/>
  <c r="AH131" i="23"/>
  <c r="AG131" i="23"/>
  <c r="AF131" i="23"/>
  <c r="AE131" i="23"/>
  <c r="BB130" i="23"/>
  <c r="BA130" i="23"/>
  <c r="AZ130" i="23"/>
  <c r="AY130" i="23"/>
  <c r="AW130" i="23"/>
  <c r="AV130" i="23"/>
  <c r="AU130" i="23"/>
  <c r="AT130" i="23"/>
  <c r="AR130" i="23"/>
  <c r="AQ130" i="23"/>
  <c r="AP130" i="23"/>
  <c r="AO130" i="23"/>
  <c r="AM130" i="23"/>
  <c r="AL130" i="23"/>
  <c r="AK130" i="23"/>
  <c r="AJ130" i="23"/>
  <c r="AH130" i="23"/>
  <c r="AG130" i="23"/>
  <c r="AF130" i="23"/>
  <c r="AE130" i="23"/>
  <c r="AD129" i="23"/>
  <c r="AN129" i="23" s="1"/>
  <c r="AD116" i="23"/>
  <c r="AN116" i="23" s="1"/>
  <c r="BB121" i="23"/>
  <c r="BA121" i="23"/>
  <c r="AZ121" i="23"/>
  <c r="AY121" i="23"/>
  <c r="AW121" i="23"/>
  <c r="AV121" i="23"/>
  <c r="AU121" i="23"/>
  <c r="AT121" i="23"/>
  <c r="AR121" i="23"/>
  <c r="AQ121" i="23"/>
  <c r="AP121" i="23"/>
  <c r="AO121" i="23"/>
  <c r="AM121" i="23"/>
  <c r="AL121" i="23"/>
  <c r="AK121" i="23"/>
  <c r="AJ121" i="23"/>
  <c r="AH121" i="23"/>
  <c r="AG121" i="23"/>
  <c r="AF121" i="23"/>
  <c r="AE121" i="23"/>
  <c r="BB120" i="23"/>
  <c r="BA120" i="23"/>
  <c r="AZ120" i="23"/>
  <c r="AY120" i="23"/>
  <c r="AW120" i="23"/>
  <c r="AV120" i="23"/>
  <c r="AU120" i="23"/>
  <c r="AT120" i="23"/>
  <c r="AR120" i="23"/>
  <c r="AQ120" i="23"/>
  <c r="AP120" i="23"/>
  <c r="AO120" i="23"/>
  <c r="AM120" i="23"/>
  <c r="AL120" i="23"/>
  <c r="AK120" i="23"/>
  <c r="AJ120" i="23"/>
  <c r="AH120" i="23"/>
  <c r="AG120" i="23"/>
  <c r="AF120" i="23"/>
  <c r="AE120" i="23"/>
  <c r="BB119" i="23"/>
  <c r="AZ119" i="23"/>
  <c r="AW119" i="23"/>
  <c r="AU119" i="23"/>
  <c r="AR119" i="23"/>
  <c r="AP119" i="23"/>
  <c r="AM119" i="23"/>
  <c r="AK119" i="23"/>
  <c r="AH119" i="23"/>
  <c r="AF119" i="23"/>
  <c r="BB118" i="23"/>
  <c r="BA118" i="23"/>
  <c r="AZ118" i="23"/>
  <c r="AY118" i="23"/>
  <c r="AW118" i="23"/>
  <c r="AV118" i="23"/>
  <c r="AU118" i="23"/>
  <c r="AT118" i="23"/>
  <c r="AR118" i="23"/>
  <c r="AQ118" i="23"/>
  <c r="AP118" i="23"/>
  <c r="AO118" i="23"/>
  <c r="AM118" i="23"/>
  <c r="AL118" i="23"/>
  <c r="AK118" i="23"/>
  <c r="AJ118" i="23"/>
  <c r="AH118" i="23"/>
  <c r="AG118" i="23"/>
  <c r="AF118" i="23"/>
  <c r="AE118" i="23"/>
  <c r="BB117" i="23"/>
  <c r="BA117" i="23"/>
  <c r="AZ117" i="23"/>
  <c r="AY117" i="23"/>
  <c r="AW117" i="23"/>
  <c r="AV117" i="23"/>
  <c r="AU117" i="23"/>
  <c r="AT117" i="23"/>
  <c r="AR117" i="23"/>
  <c r="AQ117" i="23"/>
  <c r="AP117" i="23"/>
  <c r="AO117" i="23"/>
  <c r="AM117" i="23"/>
  <c r="AL117" i="23"/>
  <c r="AK117" i="23"/>
  <c r="AJ117" i="23"/>
  <c r="AH117" i="23"/>
  <c r="AG117" i="23"/>
  <c r="AF117" i="23"/>
  <c r="AE117" i="23"/>
  <c r="AS103" i="23"/>
  <c r="AD103" i="23"/>
  <c r="BB108" i="23"/>
  <c r="AZ108" i="23"/>
  <c r="AW108" i="23"/>
  <c r="AU108" i="23"/>
  <c r="AR108" i="23"/>
  <c r="AP108" i="23"/>
  <c r="AM108" i="23"/>
  <c r="AK108" i="23"/>
  <c r="AH108" i="23"/>
  <c r="AG108" i="23"/>
  <c r="AF108" i="23"/>
  <c r="AE108" i="23"/>
  <c r="BB107" i="23"/>
  <c r="BA107" i="23"/>
  <c r="AZ107" i="23"/>
  <c r="AY107" i="23"/>
  <c r="AW107" i="23"/>
  <c r="AV107" i="23"/>
  <c r="AU107" i="23"/>
  <c r="AT107" i="23"/>
  <c r="AR107" i="23"/>
  <c r="AQ107" i="23"/>
  <c r="AP107" i="23"/>
  <c r="AO107" i="23"/>
  <c r="AM107" i="23"/>
  <c r="AL107" i="23"/>
  <c r="AK107" i="23"/>
  <c r="AJ107" i="23"/>
  <c r="AH107" i="23"/>
  <c r="AG107" i="23"/>
  <c r="AF107" i="23"/>
  <c r="AE107" i="23"/>
  <c r="BB106" i="23"/>
  <c r="AZ106" i="23"/>
  <c r="AW106" i="23"/>
  <c r="AU106" i="23"/>
  <c r="AR106" i="23"/>
  <c r="AP106" i="23"/>
  <c r="AM106" i="23"/>
  <c r="AK106" i="23"/>
  <c r="AH106" i="23"/>
  <c r="AF106" i="23"/>
  <c r="BB105" i="23"/>
  <c r="BA105" i="23"/>
  <c r="AZ105" i="23"/>
  <c r="AY105" i="23"/>
  <c r="AW105" i="23"/>
  <c r="AV105" i="23"/>
  <c r="AU105" i="23"/>
  <c r="AT105" i="23"/>
  <c r="AR105" i="23"/>
  <c r="AQ105" i="23"/>
  <c r="AP105" i="23"/>
  <c r="AO105" i="23"/>
  <c r="AM105" i="23"/>
  <c r="AL105" i="23"/>
  <c r="AK105" i="23"/>
  <c r="AJ105" i="23"/>
  <c r="AH105" i="23"/>
  <c r="AG105" i="23"/>
  <c r="AF105" i="23"/>
  <c r="AE105" i="23"/>
  <c r="BB104" i="23"/>
  <c r="BA104" i="23"/>
  <c r="AZ104" i="23"/>
  <c r="AY104" i="23"/>
  <c r="AW104" i="23"/>
  <c r="AV104" i="23"/>
  <c r="AU104" i="23"/>
  <c r="AT104" i="23"/>
  <c r="AD104" i="23"/>
  <c r="AH104" i="23" s="1"/>
  <c r="AD90" i="23"/>
  <c r="AI90" i="23" s="1"/>
  <c r="BB95" i="23"/>
  <c r="BA95" i="23"/>
  <c r="AZ95" i="23"/>
  <c r="AY95" i="23"/>
  <c r="AW95" i="23"/>
  <c r="AV95" i="23"/>
  <c r="AU95" i="23"/>
  <c r="AT95" i="23"/>
  <c r="AR95" i="23"/>
  <c r="AQ95" i="23"/>
  <c r="AP95" i="23"/>
  <c r="AO95" i="23"/>
  <c r="AM95" i="23"/>
  <c r="AL95" i="23"/>
  <c r="AK95" i="23"/>
  <c r="AJ95" i="23"/>
  <c r="AH95" i="23"/>
  <c r="AG95" i="23"/>
  <c r="AF95" i="23"/>
  <c r="AE95" i="23"/>
  <c r="BB94" i="23"/>
  <c r="BA94" i="23"/>
  <c r="AZ94" i="23"/>
  <c r="AY94" i="23"/>
  <c r="AW94" i="23"/>
  <c r="AV94" i="23"/>
  <c r="AU94" i="23"/>
  <c r="AT94" i="23"/>
  <c r="AR94" i="23"/>
  <c r="AQ94" i="23"/>
  <c r="AP94" i="23"/>
  <c r="AO94" i="23"/>
  <c r="AM94" i="23"/>
  <c r="AL94" i="23"/>
  <c r="AK94" i="23"/>
  <c r="AJ94" i="23"/>
  <c r="AH94" i="23"/>
  <c r="AG94" i="23"/>
  <c r="AF94" i="23"/>
  <c r="AE94" i="23"/>
  <c r="BB93" i="23"/>
  <c r="AZ93" i="23"/>
  <c r="AW93" i="23"/>
  <c r="AU93" i="23"/>
  <c r="AR93" i="23"/>
  <c r="AP93" i="23"/>
  <c r="AM93" i="23"/>
  <c r="AK93" i="23"/>
  <c r="AH93" i="23"/>
  <c r="AF93" i="23"/>
  <c r="BB92" i="23"/>
  <c r="BA92" i="23"/>
  <c r="AZ92" i="23"/>
  <c r="AY92" i="23"/>
  <c r="AW92" i="23"/>
  <c r="AV92" i="23"/>
  <c r="AU92" i="23"/>
  <c r="AT92" i="23"/>
  <c r="AR92" i="23"/>
  <c r="AQ92" i="23"/>
  <c r="AP92" i="23"/>
  <c r="AO92" i="23"/>
  <c r="AM92" i="23"/>
  <c r="AL92" i="23"/>
  <c r="AK92" i="23"/>
  <c r="AJ92" i="23"/>
  <c r="AH92" i="23"/>
  <c r="AG92" i="23"/>
  <c r="AF92" i="23"/>
  <c r="AE92" i="23"/>
  <c r="BB91" i="23"/>
  <c r="BA91" i="23"/>
  <c r="AZ91" i="23"/>
  <c r="AY91" i="23"/>
  <c r="AW91" i="23"/>
  <c r="AV91" i="23"/>
  <c r="AU91" i="23"/>
  <c r="AT91" i="23"/>
  <c r="AR91" i="23"/>
  <c r="AQ91" i="23"/>
  <c r="AP91" i="23"/>
  <c r="AO91" i="23"/>
  <c r="AM91" i="23"/>
  <c r="AL91" i="23"/>
  <c r="AK91" i="23"/>
  <c r="AJ91" i="23"/>
  <c r="AH91" i="23"/>
  <c r="AG91" i="23"/>
  <c r="AF91" i="23"/>
  <c r="AE91" i="23"/>
  <c r="AD77" i="23"/>
  <c r="AN77" i="23" s="1"/>
  <c r="AD65" i="23"/>
  <c r="BB82" i="23"/>
  <c r="BA82" i="23"/>
  <c r="AZ82" i="23"/>
  <c r="AY82" i="23"/>
  <c r="AW82" i="23"/>
  <c r="AV82" i="23"/>
  <c r="AU82" i="23"/>
  <c r="AT82" i="23"/>
  <c r="AR82" i="23"/>
  <c r="AQ82" i="23"/>
  <c r="AP82" i="23"/>
  <c r="AO82" i="23"/>
  <c r="AM82" i="23"/>
  <c r="AL82" i="23"/>
  <c r="AK82" i="23"/>
  <c r="AJ82" i="23"/>
  <c r="AH82" i="23"/>
  <c r="AG82" i="23"/>
  <c r="AF82" i="23"/>
  <c r="AE82" i="23"/>
  <c r="BB81" i="23"/>
  <c r="BA81" i="23"/>
  <c r="AZ81" i="23"/>
  <c r="AY81" i="23"/>
  <c r="AW81" i="23"/>
  <c r="AV81" i="23"/>
  <c r="AU81" i="23"/>
  <c r="AT81" i="23"/>
  <c r="AR81" i="23"/>
  <c r="AQ81" i="23"/>
  <c r="AP81" i="23"/>
  <c r="AO81" i="23"/>
  <c r="AM81" i="23"/>
  <c r="AL81" i="23"/>
  <c r="AK81" i="23"/>
  <c r="AJ81" i="23"/>
  <c r="AH81" i="23"/>
  <c r="AG81" i="23"/>
  <c r="AF81" i="23"/>
  <c r="AE81" i="23"/>
  <c r="BB80" i="23"/>
  <c r="AZ80" i="23"/>
  <c r="AW80" i="23"/>
  <c r="AU80" i="23"/>
  <c r="AR80" i="23"/>
  <c r="AP80" i="23"/>
  <c r="AM80" i="23"/>
  <c r="AK80" i="23"/>
  <c r="AH80" i="23"/>
  <c r="AF80" i="23"/>
  <c r="BB79" i="23"/>
  <c r="BA79" i="23"/>
  <c r="AZ79" i="23"/>
  <c r="AY79" i="23"/>
  <c r="AW79" i="23"/>
  <c r="AV79" i="23"/>
  <c r="AU79" i="23"/>
  <c r="AT79" i="23"/>
  <c r="AR79" i="23"/>
  <c r="AQ79" i="23"/>
  <c r="AP79" i="23"/>
  <c r="AO79" i="23"/>
  <c r="AM79" i="23"/>
  <c r="AL79" i="23"/>
  <c r="AK79" i="23"/>
  <c r="AJ79" i="23"/>
  <c r="AH79" i="23"/>
  <c r="AG79" i="23"/>
  <c r="AF79" i="23"/>
  <c r="AE79" i="23"/>
  <c r="BB78" i="23"/>
  <c r="BA78" i="23"/>
  <c r="AZ78" i="23"/>
  <c r="AY78" i="23"/>
  <c r="AW78" i="23"/>
  <c r="AV78" i="23"/>
  <c r="AU78" i="23"/>
  <c r="AT78" i="23"/>
  <c r="AR78" i="23"/>
  <c r="AQ78" i="23"/>
  <c r="AP78" i="23"/>
  <c r="AO78" i="23"/>
  <c r="AM78" i="23"/>
  <c r="AL78" i="23"/>
  <c r="AK78" i="23"/>
  <c r="AJ78" i="23"/>
  <c r="AH78" i="23"/>
  <c r="AG78" i="23"/>
  <c r="AF78" i="23"/>
  <c r="AE78" i="23"/>
  <c r="BB70" i="23"/>
  <c r="BA70" i="23"/>
  <c r="AZ70" i="23"/>
  <c r="AY70" i="23"/>
  <c r="AW70" i="23"/>
  <c r="AV70" i="23"/>
  <c r="AU70" i="23"/>
  <c r="AT70" i="23"/>
  <c r="AR70" i="23"/>
  <c r="AQ70" i="23"/>
  <c r="AP70" i="23"/>
  <c r="AO70" i="23"/>
  <c r="AM70" i="23"/>
  <c r="AL70" i="23"/>
  <c r="AK70" i="23"/>
  <c r="AJ70" i="23"/>
  <c r="AH70" i="23"/>
  <c r="AG70" i="23"/>
  <c r="AF70" i="23"/>
  <c r="AE70" i="23"/>
  <c r="BB69" i="23"/>
  <c r="BA69" i="23"/>
  <c r="AZ69" i="23"/>
  <c r="AY69" i="23"/>
  <c r="AW69" i="23"/>
  <c r="AV69" i="23"/>
  <c r="AU69" i="23"/>
  <c r="AT69" i="23"/>
  <c r="AR69" i="23"/>
  <c r="AQ69" i="23"/>
  <c r="AP69" i="23"/>
  <c r="AO69" i="23"/>
  <c r="AM69" i="23"/>
  <c r="AL69" i="23"/>
  <c r="AK69" i="23"/>
  <c r="AJ69" i="23"/>
  <c r="AH69" i="23"/>
  <c r="AG69" i="23"/>
  <c r="AF69" i="23"/>
  <c r="AE69" i="23"/>
  <c r="BB68" i="23"/>
  <c r="AZ68" i="23"/>
  <c r="AW68" i="23"/>
  <c r="AU68" i="23"/>
  <c r="AR68" i="23"/>
  <c r="AP68" i="23"/>
  <c r="AM68" i="23"/>
  <c r="AK68" i="23"/>
  <c r="AH68" i="23"/>
  <c r="AF68" i="23"/>
  <c r="BB67" i="23"/>
  <c r="BA67" i="23"/>
  <c r="AZ67" i="23"/>
  <c r="AY67" i="23"/>
  <c r="AW67" i="23"/>
  <c r="AV67" i="23"/>
  <c r="AU67" i="23"/>
  <c r="AT67" i="23"/>
  <c r="AR67" i="23"/>
  <c r="AQ67" i="23"/>
  <c r="AP67" i="23"/>
  <c r="AO67" i="23"/>
  <c r="AM67" i="23"/>
  <c r="AL67" i="23"/>
  <c r="AK67" i="23"/>
  <c r="AJ67" i="23"/>
  <c r="AH67" i="23"/>
  <c r="AG67" i="23"/>
  <c r="AF67" i="23"/>
  <c r="AE67" i="23"/>
  <c r="BB66" i="23"/>
  <c r="BA66" i="23"/>
  <c r="AZ66" i="23"/>
  <c r="AY66" i="23"/>
  <c r="AW66" i="23"/>
  <c r="AV66" i="23"/>
  <c r="AU66" i="23"/>
  <c r="AT66" i="23"/>
  <c r="AR66" i="23"/>
  <c r="AQ66" i="23"/>
  <c r="AP66" i="23"/>
  <c r="AO66" i="23"/>
  <c r="AM66" i="23"/>
  <c r="AL66" i="23"/>
  <c r="AK66" i="23"/>
  <c r="AJ66" i="23"/>
  <c r="AH66" i="23"/>
  <c r="AG66" i="23"/>
  <c r="AF66" i="23"/>
  <c r="AE66" i="23"/>
  <c r="AX53" i="23"/>
  <c r="AS53" i="23"/>
  <c r="AI53" i="23"/>
  <c r="AD53" i="23"/>
  <c r="BB58" i="23"/>
  <c r="AZ58" i="23"/>
  <c r="AW58" i="23"/>
  <c r="AU58" i="23"/>
  <c r="AR58" i="23"/>
  <c r="AP58" i="23"/>
  <c r="AM58" i="23"/>
  <c r="AK58" i="23"/>
  <c r="AH58" i="23"/>
  <c r="AG58" i="23"/>
  <c r="AF58" i="23"/>
  <c r="AE58" i="23"/>
  <c r="BB57" i="23"/>
  <c r="BA57" i="23"/>
  <c r="AZ57" i="23"/>
  <c r="AY57" i="23"/>
  <c r="AW57" i="23"/>
  <c r="AV57" i="23"/>
  <c r="AU57" i="23"/>
  <c r="AT57" i="23"/>
  <c r="AR57" i="23"/>
  <c r="AQ57" i="23"/>
  <c r="AP57" i="23"/>
  <c r="AO57" i="23"/>
  <c r="AM57" i="23"/>
  <c r="AL57" i="23"/>
  <c r="AK57" i="23"/>
  <c r="AJ57" i="23"/>
  <c r="AH57" i="23"/>
  <c r="AG57" i="23"/>
  <c r="AF57" i="23"/>
  <c r="AE57" i="23"/>
  <c r="BB56" i="23"/>
  <c r="AZ56" i="23"/>
  <c r="AW56" i="23"/>
  <c r="AU56" i="23"/>
  <c r="AR56" i="23"/>
  <c r="AP56" i="23"/>
  <c r="AM56" i="23"/>
  <c r="AK56" i="23"/>
  <c r="AH56" i="23"/>
  <c r="AF56" i="23"/>
  <c r="BB55" i="23"/>
  <c r="BA55" i="23"/>
  <c r="AZ55" i="23"/>
  <c r="AY55" i="23"/>
  <c r="AW55" i="23"/>
  <c r="AV55" i="23"/>
  <c r="AU55" i="23"/>
  <c r="AT55" i="23"/>
  <c r="AR55" i="23"/>
  <c r="AQ55" i="23"/>
  <c r="AP55" i="23"/>
  <c r="AO55" i="23"/>
  <c r="AM55" i="23"/>
  <c r="AL55" i="23"/>
  <c r="AK55" i="23"/>
  <c r="AJ55" i="23"/>
  <c r="AH55" i="23"/>
  <c r="AG55" i="23"/>
  <c r="AF55" i="23"/>
  <c r="AE55" i="23"/>
  <c r="BB54" i="23"/>
  <c r="BA54" i="23"/>
  <c r="AZ54" i="23"/>
  <c r="AY54" i="23"/>
  <c r="AW54" i="23"/>
  <c r="AV54" i="23"/>
  <c r="AU54" i="23"/>
  <c r="AT54" i="23"/>
  <c r="AD54" i="23"/>
  <c r="AN53" i="23"/>
  <c r="AH42" i="23"/>
  <c r="AD41" i="23"/>
  <c r="AN41" i="23" s="1"/>
  <c r="BB46" i="23"/>
  <c r="AZ46" i="23"/>
  <c r="AW46" i="23"/>
  <c r="AU46" i="23"/>
  <c r="AR46" i="23"/>
  <c r="AP46" i="23"/>
  <c r="AM46" i="23"/>
  <c r="AK46" i="23"/>
  <c r="AH46" i="23"/>
  <c r="AG46" i="23"/>
  <c r="AF46" i="23"/>
  <c r="AE46" i="23"/>
  <c r="BB45" i="23"/>
  <c r="BA45" i="23"/>
  <c r="AZ45" i="23"/>
  <c r="AY45" i="23"/>
  <c r="AW45" i="23"/>
  <c r="AV45" i="23"/>
  <c r="AU45" i="23"/>
  <c r="AT45" i="23"/>
  <c r="AR45" i="23"/>
  <c r="AQ45" i="23"/>
  <c r="AP45" i="23"/>
  <c r="AO45" i="23"/>
  <c r="AM45" i="23"/>
  <c r="AL45" i="23"/>
  <c r="AK45" i="23"/>
  <c r="AJ45" i="23"/>
  <c r="AH45" i="23"/>
  <c r="AG45" i="23"/>
  <c r="AF45" i="23"/>
  <c r="AE45" i="23"/>
  <c r="BB44" i="23"/>
  <c r="AZ44" i="23"/>
  <c r="AW44" i="23"/>
  <c r="AU44" i="23"/>
  <c r="AR44" i="23"/>
  <c r="AP44" i="23"/>
  <c r="AM44" i="23"/>
  <c r="AK44" i="23"/>
  <c r="AH44" i="23"/>
  <c r="AF44" i="23"/>
  <c r="BB43" i="23"/>
  <c r="BA43" i="23"/>
  <c r="AZ43" i="23"/>
  <c r="AY43" i="23"/>
  <c r="AW43" i="23"/>
  <c r="AV43" i="23"/>
  <c r="AU43" i="23"/>
  <c r="AT43" i="23"/>
  <c r="AR43" i="23"/>
  <c r="AQ43" i="23"/>
  <c r="AP43" i="23"/>
  <c r="AO43" i="23"/>
  <c r="AM43" i="23"/>
  <c r="AL43" i="23"/>
  <c r="AK43" i="23"/>
  <c r="AJ43" i="23"/>
  <c r="AH43" i="23"/>
  <c r="AG43" i="23"/>
  <c r="AF43" i="23"/>
  <c r="AE43" i="23"/>
  <c r="BB42" i="23"/>
  <c r="BA42" i="23"/>
  <c r="AZ42" i="23"/>
  <c r="AY42" i="23"/>
  <c r="AW42" i="23"/>
  <c r="AV42" i="23"/>
  <c r="AU42" i="23"/>
  <c r="AT42" i="23"/>
  <c r="AX29" i="23"/>
  <c r="AS29" i="23"/>
  <c r="AN29" i="23"/>
  <c r="AI29" i="23"/>
  <c r="AD29" i="23"/>
  <c r="AF29" i="23" s="1"/>
  <c r="AD30" i="23"/>
  <c r="BB34" i="23"/>
  <c r="AZ34" i="23"/>
  <c r="AW34" i="23"/>
  <c r="AU34" i="23"/>
  <c r="AR34" i="23"/>
  <c r="AP34" i="23"/>
  <c r="AM34" i="23"/>
  <c r="AK34" i="23"/>
  <c r="AH34" i="23"/>
  <c r="AG34" i="23"/>
  <c r="AF34" i="23"/>
  <c r="AE34" i="23"/>
  <c r="BB33" i="23"/>
  <c r="BA33" i="23"/>
  <c r="AZ33" i="23"/>
  <c r="AY33" i="23"/>
  <c r="AW33" i="23"/>
  <c r="AV33" i="23"/>
  <c r="AU33" i="23"/>
  <c r="AT33" i="23"/>
  <c r="AR33" i="23"/>
  <c r="AQ33" i="23"/>
  <c r="AP33" i="23"/>
  <c r="AO33" i="23"/>
  <c r="AM33" i="23"/>
  <c r="AL33" i="23"/>
  <c r="AK33" i="23"/>
  <c r="AJ33" i="23"/>
  <c r="AH33" i="23"/>
  <c r="AG33" i="23"/>
  <c r="AF33" i="23"/>
  <c r="AE33" i="23"/>
  <c r="BB32" i="23"/>
  <c r="AZ32" i="23"/>
  <c r="AW32" i="23"/>
  <c r="AU32" i="23"/>
  <c r="AR32" i="23"/>
  <c r="AP32" i="23"/>
  <c r="AM32" i="23"/>
  <c r="AK32" i="23"/>
  <c r="AH32" i="23"/>
  <c r="AF32" i="23"/>
  <c r="BB31" i="23"/>
  <c r="BA31" i="23"/>
  <c r="AZ31" i="23"/>
  <c r="AY31" i="23"/>
  <c r="AW31" i="23"/>
  <c r="AV31" i="23"/>
  <c r="AU31" i="23"/>
  <c r="AT31" i="23"/>
  <c r="AR31" i="23"/>
  <c r="AQ31" i="23"/>
  <c r="AP31" i="23"/>
  <c r="AO31" i="23"/>
  <c r="AM31" i="23"/>
  <c r="AL31" i="23"/>
  <c r="AK31" i="23"/>
  <c r="AJ31" i="23"/>
  <c r="AH31" i="23"/>
  <c r="AG31" i="23"/>
  <c r="AF31" i="23"/>
  <c r="AE31" i="23"/>
  <c r="BB30" i="23"/>
  <c r="BA30" i="23"/>
  <c r="AZ30" i="23"/>
  <c r="AY30" i="23"/>
  <c r="AW30" i="23"/>
  <c r="AV30" i="23"/>
  <c r="AU30" i="23"/>
  <c r="AT30" i="23"/>
  <c r="Z265" i="23"/>
  <c r="X265" i="23"/>
  <c r="U265" i="23"/>
  <c r="S265" i="23"/>
  <c r="P265" i="23"/>
  <c r="N265" i="23"/>
  <c r="K265" i="23"/>
  <c r="I265" i="23"/>
  <c r="F265" i="23"/>
  <c r="E265" i="23"/>
  <c r="D265" i="23"/>
  <c r="C265" i="23"/>
  <c r="Z264" i="23"/>
  <c r="Y264" i="23"/>
  <c r="X264" i="23"/>
  <c r="W264" i="23"/>
  <c r="U264" i="23"/>
  <c r="T264" i="23"/>
  <c r="S264" i="23"/>
  <c r="R264" i="23"/>
  <c r="P264" i="23"/>
  <c r="O264" i="23"/>
  <c r="N264" i="23"/>
  <c r="M264" i="23"/>
  <c r="K264" i="23"/>
  <c r="J264" i="23"/>
  <c r="I264" i="23"/>
  <c r="H264" i="23"/>
  <c r="F264" i="23"/>
  <c r="E264" i="23"/>
  <c r="D264" i="23"/>
  <c r="C264" i="23"/>
  <c r="Z263" i="23"/>
  <c r="X263" i="23"/>
  <c r="U263" i="23"/>
  <c r="S263" i="23"/>
  <c r="P263" i="23"/>
  <c r="N263" i="23"/>
  <c r="K263" i="23"/>
  <c r="I263" i="23"/>
  <c r="F263" i="23"/>
  <c r="D263" i="23"/>
  <c r="Z262" i="23"/>
  <c r="Y262" i="23"/>
  <c r="X262" i="23"/>
  <c r="W262" i="23"/>
  <c r="U262" i="23"/>
  <c r="T262" i="23"/>
  <c r="S262" i="23"/>
  <c r="R262" i="23"/>
  <c r="P262" i="23"/>
  <c r="O262" i="23"/>
  <c r="N262" i="23"/>
  <c r="M262" i="23"/>
  <c r="K262" i="23"/>
  <c r="J262" i="23"/>
  <c r="I262" i="23"/>
  <c r="H262" i="23"/>
  <c r="F262" i="23"/>
  <c r="E262" i="23"/>
  <c r="D262" i="23"/>
  <c r="C262" i="23"/>
  <c r="Z261" i="23"/>
  <c r="Y261" i="23"/>
  <c r="X261" i="23"/>
  <c r="W261" i="23"/>
  <c r="U261" i="23"/>
  <c r="T261" i="23"/>
  <c r="S261" i="23"/>
  <c r="R261" i="23"/>
  <c r="B261" i="23"/>
  <c r="F261" i="23" s="1"/>
  <c r="P260" i="23"/>
  <c r="O260" i="23"/>
  <c r="N260" i="23"/>
  <c r="M260" i="23"/>
  <c r="K260" i="23"/>
  <c r="J260" i="23"/>
  <c r="I260" i="23"/>
  <c r="H260" i="23"/>
  <c r="F260" i="23"/>
  <c r="E260" i="23"/>
  <c r="D260" i="23"/>
  <c r="C260" i="23"/>
  <c r="Z252" i="23"/>
  <c r="X252" i="23"/>
  <c r="U252" i="23"/>
  <c r="S252" i="23"/>
  <c r="P252" i="23"/>
  <c r="N252" i="23"/>
  <c r="K252" i="23"/>
  <c r="I252" i="23"/>
  <c r="F252" i="23"/>
  <c r="E252" i="23"/>
  <c r="D252" i="23"/>
  <c r="C252" i="23"/>
  <c r="Z251" i="23"/>
  <c r="Y251" i="23"/>
  <c r="X251" i="23"/>
  <c r="W251" i="23"/>
  <c r="U251" i="23"/>
  <c r="T251" i="23"/>
  <c r="S251" i="23"/>
  <c r="R251" i="23"/>
  <c r="P251" i="23"/>
  <c r="O251" i="23"/>
  <c r="N251" i="23"/>
  <c r="M251" i="23"/>
  <c r="K251" i="23"/>
  <c r="J251" i="23"/>
  <c r="I251" i="23"/>
  <c r="H251" i="23"/>
  <c r="F251" i="23"/>
  <c r="E251" i="23"/>
  <c r="D251" i="23"/>
  <c r="C251" i="23"/>
  <c r="Z250" i="23"/>
  <c r="X250" i="23"/>
  <c r="U250" i="23"/>
  <c r="S250" i="23"/>
  <c r="P250" i="23"/>
  <c r="N250" i="23"/>
  <c r="K250" i="23"/>
  <c r="I250" i="23"/>
  <c r="F250" i="23"/>
  <c r="D250" i="23"/>
  <c r="Z249" i="23"/>
  <c r="Y249" i="23"/>
  <c r="X249" i="23"/>
  <c r="W249" i="23"/>
  <c r="U249" i="23"/>
  <c r="T249" i="23"/>
  <c r="S249" i="23"/>
  <c r="R249" i="23"/>
  <c r="P249" i="23"/>
  <c r="O249" i="23"/>
  <c r="N249" i="23"/>
  <c r="M249" i="23"/>
  <c r="K249" i="23"/>
  <c r="J249" i="23"/>
  <c r="I249" i="23"/>
  <c r="H249" i="23"/>
  <c r="F249" i="23"/>
  <c r="E249" i="23"/>
  <c r="D249" i="23"/>
  <c r="C249" i="23"/>
  <c r="Z248" i="23"/>
  <c r="Y248" i="23"/>
  <c r="X248" i="23"/>
  <c r="W248" i="23"/>
  <c r="U248" i="23"/>
  <c r="T248" i="23"/>
  <c r="S248" i="23"/>
  <c r="R248" i="23"/>
  <c r="P247" i="23"/>
  <c r="O247" i="23"/>
  <c r="N247" i="23"/>
  <c r="M247" i="23"/>
  <c r="K247" i="23"/>
  <c r="J247" i="23"/>
  <c r="I247" i="23"/>
  <c r="H247" i="23"/>
  <c r="F247" i="23"/>
  <c r="E247" i="23"/>
  <c r="D247" i="23"/>
  <c r="C247" i="23"/>
  <c r="D235" i="23"/>
  <c r="Z239" i="23"/>
  <c r="X239" i="23"/>
  <c r="U239" i="23"/>
  <c r="S239" i="23"/>
  <c r="P239" i="23"/>
  <c r="N239" i="23"/>
  <c r="K239" i="23"/>
  <c r="I239" i="23"/>
  <c r="F239" i="23"/>
  <c r="E239" i="23"/>
  <c r="D239" i="23"/>
  <c r="C239" i="23"/>
  <c r="Z238" i="23"/>
  <c r="Y238" i="23"/>
  <c r="X238" i="23"/>
  <c r="W238" i="23"/>
  <c r="U238" i="23"/>
  <c r="T238" i="23"/>
  <c r="S238" i="23"/>
  <c r="R238" i="23"/>
  <c r="P238" i="23"/>
  <c r="O238" i="23"/>
  <c r="N238" i="23"/>
  <c r="M238" i="23"/>
  <c r="K238" i="23"/>
  <c r="J238" i="23"/>
  <c r="I238" i="23"/>
  <c r="H238" i="23"/>
  <c r="F238" i="23"/>
  <c r="E238" i="23"/>
  <c r="D238" i="23"/>
  <c r="C238" i="23"/>
  <c r="Z237" i="23"/>
  <c r="X237" i="23"/>
  <c r="U237" i="23"/>
  <c r="S237" i="23"/>
  <c r="P237" i="23"/>
  <c r="N237" i="23"/>
  <c r="K237" i="23"/>
  <c r="I237" i="23"/>
  <c r="F237" i="23"/>
  <c r="D237" i="23"/>
  <c r="Z236" i="23"/>
  <c r="Y236" i="23"/>
  <c r="X236" i="23"/>
  <c r="W236" i="23"/>
  <c r="U236" i="23"/>
  <c r="T236" i="23"/>
  <c r="S236" i="23"/>
  <c r="R236" i="23"/>
  <c r="P236" i="23"/>
  <c r="O236" i="23"/>
  <c r="N236" i="23"/>
  <c r="M236" i="23"/>
  <c r="K236" i="23"/>
  <c r="J236" i="23"/>
  <c r="I236" i="23"/>
  <c r="H236" i="23"/>
  <c r="F236" i="23"/>
  <c r="E236" i="23"/>
  <c r="D236" i="23"/>
  <c r="C236" i="23"/>
  <c r="Z235" i="23"/>
  <c r="Y235" i="23"/>
  <c r="X235" i="23"/>
  <c r="W235" i="23"/>
  <c r="U235" i="23"/>
  <c r="T235" i="23"/>
  <c r="S235" i="23"/>
  <c r="R235" i="23"/>
  <c r="P234" i="23"/>
  <c r="O234" i="23"/>
  <c r="N234" i="23"/>
  <c r="M234" i="23"/>
  <c r="K234" i="23"/>
  <c r="J234" i="23"/>
  <c r="I234" i="23"/>
  <c r="H234" i="23"/>
  <c r="F234" i="23"/>
  <c r="E234" i="23"/>
  <c r="D234" i="23"/>
  <c r="C234" i="23"/>
  <c r="Z226" i="23"/>
  <c r="X226" i="23"/>
  <c r="U226" i="23"/>
  <c r="S226" i="23"/>
  <c r="P226" i="23"/>
  <c r="N226" i="23"/>
  <c r="K226" i="23"/>
  <c r="I226" i="23"/>
  <c r="F226" i="23"/>
  <c r="E226" i="23"/>
  <c r="D226" i="23"/>
  <c r="C226" i="23"/>
  <c r="Z225" i="23"/>
  <c r="Y225" i="23"/>
  <c r="X225" i="23"/>
  <c r="W225" i="23"/>
  <c r="U225" i="23"/>
  <c r="T225" i="23"/>
  <c r="S225" i="23"/>
  <c r="R225" i="23"/>
  <c r="P225" i="23"/>
  <c r="O225" i="23"/>
  <c r="N225" i="23"/>
  <c r="M225" i="23"/>
  <c r="K225" i="23"/>
  <c r="J225" i="23"/>
  <c r="I225" i="23"/>
  <c r="H225" i="23"/>
  <c r="F225" i="23"/>
  <c r="E225" i="23"/>
  <c r="D225" i="23"/>
  <c r="C225" i="23"/>
  <c r="Z224" i="23"/>
  <c r="X224" i="23"/>
  <c r="U224" i="23"/>
  <c r="S224" i="23"/>
  <c r="P224" i="23"/>
  <c r="N224" i="23"/>
  <c r="K224" i="23"/>
  <c r="I224" i="23"/>
  <c r="F224" i="23"/>
  <c r="D224" i="23"/>
  <c r="Z223" i="23"/>
  <c r="Y223" i="23"/>
  <c r="X223" i="23"/>
  <c r="W223" i="23"/>
  <c r="U223" i="23"/>
  <c r="T223" i="23"/>
  <c r="S223" i="23"/>
  <c r="R223" i="23"/>
  <c r="P223" i="23"/>
  <c r="O223" i="23"/>
  <c r="N223" i="23"/>
  <c r="M223" i="23"/>
  <c r="K223" i="23"/>
  <c r="J223" i="23"/>
  <c r="I223" i="23"/>
  <c r="H223" i="23"/>
  <c r="F223" i="23"/>
  <c r="E223" i="23"/>
  <c r="D223" i="23"/>
  <c r="C223" i="23"/>
  <c r="Z222" i="23"/>
  <c r="Y222" i="23"/>
  <c r="X222" i="23"/>
  <c r="W222" i="23"/>
  <c r="U222" i="23"/>
  <c r="T222" i="23"/>
  <c r="S222" i="23"/>
  <c r="R222" i="23"/>
  <c r="P221" i="23"/>
  <c r="O221" i="23"/>
  <c r="N221" i="23"/>
  <c r="M221" i="23"/>
  <c r="K221" i="23"/>
  <c r="J221" i="23"/>
  <c r="I221" i="23"/>
  <c r="H221" i="23"/>
  <c r="F221" i="23"/>
  <c r="E221" i="23"/>
  <c r="D221" i="23"/>
  <c r="C221" i="23"/>
  <c r="Z212" i="23"/>
  <c r="Y212" i="23"/>
  <c r="X212" i="23"/>
  <c r="W212" i="23"/>
  <c r="U212" i="23"/>
  <c r="T212" i="23"/>
  <c r="S212" i="23"/>
  <c r="R212" i="23"/>
  <c r="P212" i="23"/>
  <c r="O212" i="23"/>
  <c r="N212" i="23"/>
  <c r="M212" i="23"/>
  <c r="K212" i="23"/>
  <c r="J212" i="23"/>
  <c r="I212" i="23"/>
  <c r="H212" i="23"/>
  <c r="F212" i="23"/>
  <c r="E212" i="23"/>
  <c r="D212" i="23"/>
  <c r="C212" i="23"/>
  <c r="Z211" i="23"/>
  <c r="Y211" i="23"/>
  <c r="X211" i="23"/>
  <c r="W211" i="23"/>
  <c r="U211" i="23"/>
  <c r="T211" i="23"/>
  <c r="S211" i="23"/>
  <c r="R211" i="23"/>
  <c r="P211" i="23"/>
  <c r="O211" i="23"/>
  <c r="N211" i="23"/>
  <c r="M211" i="23"/>
  <c r="K211" i="23"/>
  <c r="J211" i="23"/>
  <c r="I211" i="23"/>
  <c r="H211" i="23"/>
  <c r="F211" i="23"/>
  <c r="E211" i="23"/>
  <c r="D211" i="23"/>
  <c r="C211" i="23"/>
  <c r="Z210" i="23"/>
  <c r="X210" i="23"/>
  <c r="U210" i="23"/>
  <c r="S210" i="23"/>
  <c r="P210" i="23"/>
  <c r="N210" i="23"/>
  <c r="K210" i="23"/>
  <c r="I210" i="23"/>
  <c r="F210" i="23"/>
  <c r="D210" i="23"/>
  <c r="Z209" i="23"/>
  <c r="Y209" i="23"/>
  <c r="X209" i="23"/>
  <c r="W209" i="23"/>
  <c r="U209" i="23"/>
  <c r="T209" i="23"/>
  <c r="S209" i="23"/>
  <c r="R209" i="23"/>
  <c r="P209" i="23"/>
  <c r="O209" i="23"/>
  <c r="N209" i="23"/>
  <c r="M209" i="23"/>
  <c r="K209" i="23"/>
  <c r="J209" i="23"/>
  <c r="I209" i="23"/>
  <c r="H209" i="23"/>
  <c r="F209" i="23"/>
  <c r="E209" i="23"/>
  <c r="D209" i="23"/>
  <c r="C209" i="23"/>
  <c r="Z208" i="23"/>
  <c r="Y208" i="23"/>
  <c r="X208" i="23"/>
  <c r="W208" i="23"/>
  <c r="U208" i="23"/>
  <c r="T208" i="23"/>
  <c r="S208" i="23"/>
  <c r="R208" i="23"/>
  <c r="P208" i="23"/>
  <c r="O208" i="23"/>
  <c r="N208" i="23"/>
  <c r="M208" i="23"/>
  <c r="K208" i="23"/>
  <c r="J208" i="23"/>
  <c r="I208" i="23"/>
  <c r="H208" i="23"/>
  <c r="F208" i="23"/>
  <c r="E208" i="23"/>
  <c r="D208" i="23"/>
  <c r="C208" i="23"/>
  <c r="F207" i="23"/>
  <c r="F213" i="23" s="1"/>
  <c r="D207" i="23"/>
  <c r="D213" i="23" s="1"/>
  <c r="F142" i="23"/>
  <c r="F148" i="23" s="1"/>
  <c r="D142" i="23"/>
  <c r="Z199" i="23"/>
  <c r="Y199" i="23"/>
  <c r="X199" i="23"/>
  <c r="W199" i="23"/>
  <c r="U199" i="23"/>
  <c r="T199" i="23"/>
  <c r="S199" i="23"/>
  <c r="R199" i="23"/>
  <c r="P199" i="23"/>
  <c r="O199" i="23"/>
  <c r="N199" i="23"/>
  <c r="M199" i="23"/>
  <c r="K199" i="23"/>
  <c r="J199" i="23"/>
  <c r="I199" i="23"/>
  <c r="H199" i="23"/>
  <c r="F199" i="23"/>
  <c r="E199" i="23"/>
  <c r="D199" i="23"/>
  <c r="C199" i="23"/>
  <c r="Z198" i="23"/>
  <c r="X198" i="23"/>
  <c r="U198" i="23"/>
  <c r="S198" i="23"/>
  <c r="P198" i="23"/>
  <c r="N198" i="23"/>
  <c r="K198" i="23"/>
  <c r="I198" i="23"/>
  <c r="F198" i="23"/>
  <c r="D198" i="23"/>
  <c r="Z197" i="23"/>
  <c r="Y197" i="23"/>
  <c r="X197" i="23"/>
  <c r="W197" i="23"/>
  <c r="U197" i="23"/>
  <c r="T197" i="23"/>
  <c r="S197" i="23"/>
  <c r="R197" i="23"/>
  <c r="P197" i="23"/>
  <c r="O197" i="23"/>
  <c r="N197" i="23"/>
  <c r="M197" i="23"/>
  <c r="K197" i="23"/>
  <c r="J197" i="23"/>
  <c r="I197" i="23"/>
  <c r="H197" i="23"/>
  <c r="F197" i="23"/>
  <c r="E197" i="23"/>
  <c r="D197" i="23"/>
  <c r="C197" i="23"/>
  <c r="Z196" i="23"/>
  <c r="Y196" i="23"/>
  <c r="X196" i="23"/>
  <c r="W196" i="23"/>
  <c r="U196" i="23"/>
  <c r="T196" i="23"/>
  <c r="S196" i="23"/>
  <c r="R196" i="23"/>
  <c r="P196" i="23"/>
  <c r="O196" i="23"/>
  <c r="N196" i="23"/>
  <c r="M196" i="23"/>
  <c r="K196" i="23"/>
  <c r="J196" i="23"/>
  <c r="I196" i="23"/>
  <c r="H196" i="23"/>
  <c r="F196" i="23"/>
  <c r="E196" i="23"/>
  <c r="D196" i="23"/>
  <c r="C196" i="23"/>
  <c r="Z195" i="23"/>
  <c r="Y195" i="23"/>
  <c r="X195" i="23"/>
  <c r="W195" i="23"/>
  <c r="U195" i="23"/>
  <c r="T195" i="23"/>
  <c r="S195" i="23"/>
  <c r="R195" i="23"/>
  <c r="P195" i="23"/>
  <c r="O195" i="23"/>
  <c r="N195" i="23"/>
  <c r="M195" i="23"/>
  <c r="K195" i="23"/>
  <c r="J195" i="23"/>
  <c r="I195" i="23"/>
  <c r="H195" i="23"/>
  <c r="F195" i="23"/>
  <c r="E195" i="23"/>
  <c r="D195" i="23"/>
  <c r="C195" i="23"/>
  <c r="F194" i="23"/>
  <c r="D194" i="23"/>
  <c r="B183" i="23"/>
  <c r="L182" i="23"/>
  <c r="N182" i="23" s="1"/>
  <c r="B66" i="23"/>
  <c r="Z186" i="23"/>
  <c r="X186" i="23"/>
  <c r="U186" i="23"/>
  <c r="S186" i="23"/>
  <c r="P186" i="23"/>
  <c r="N186" i="23"/>
  <c r="K186" i="23"/>
  <c r="I186" i="23"/>
  <c r="F186" i="23"/>
  <c r="E186" i="23"/>
  <c r="D186" i="23"/>
  <c r="C186" i="23"/>
  <c r="Z185" i="23"/>
  <c r="Y185" i="23"/>
  <c r="X185" i="23"/>
  <c r="W185" i="23"/>
  <c r="U185" i="23"/>
  <c r="T185" i="23"/>
  <c r="S185" i="23"/>
  <c r="R185" i="23"/>
  <c r="P185" i="23"/>
  <c r="O185" i="23"/>
  <c r="N185" i="23"/>
  <c r="M185" i="23"/>
  <c r="K185" i="23"/>
  <c r="J185" i="23"/>
  <c r="I185" i="23"/>
  <c r="H185" i="23"/>
  <c r="F185" i="23"/>
  <c r="E185" i="23"/>
  <c r="D185" i="23"/>
  <c r="C185" i="23"/>
  <c r="Z184" i="23"/>
  <c r="X184" i="23"/>
  <c r="U184" i="23"/>
  <c r="S184" i="23"/>
  <c r="P184" i="23"/>
  <c r="N184" i="23"/>
  <c r="K184" i="23"/>
  <c r="I184" i="23"/>
  <c r="F184" i="23"/>
  <c r="D184" i="23"/>
  <c r="Z183" i="23"/>
  <c r="X183" i="23"/>
  <c r="U183" i="23"/>
  <c r="S183" i="23"/>
  <c r="P183" i="23"/>
  <c r="N183" i="23"/>
  <c r="K183" i="23"/>
  <c r="I183" i="23"/>
  <c r="Z182" i="23"/>
  <c r="Y182" i="23"/>
  <c r="X182" i="23"/>
  <c r="W182" i="23"/>
  <c r="U182" i="23"/>
  <c r="T182" i="23"/>
  <c r="S182" i="23"/>
  <c r="R182" i="23"/>
  <c r="P181" i="23"/>
  <c r="O181" i="23"/>
  <c r="N181" i="23"/>
  <c r="M181" i="23"/>
  <c r="K181" i="23"/>
  <c r="J181" i="23"/>
  <c r="I181" i="23"/>
  <c r="H181" i="23"/>
  <c r="F181" i="23"/>
  <c r="E181" i="23"/>
  <c r="D181" i="23"/>
  <c r="C181" i="23"/>
  <c r="Z173" i="23"/>
  <c r="Y173" i="23"/>
  <c r="X173" i="23"/>
  <c r="W173" i="23"/>
  <c r="U173" i="23"/>
  <c r="T173" i="23"/>
  <c r="S173" i="23"/>
  <c r="R173" i="23"/>
  <c r="P173" i="23"/>
  <c r="O173" i="23"/>
  <c r="N173" i="23"/>
  <c r="M173" i="23"/>
  <c r="K173" i="23"/>
  <c r="J173" i="23"/>
  <c r="I173" i="23"/>
  <c r="H173" i="23"/>
  <c r="F173" i="23"/>
  <c r="E173" i="23"/>
  <c r="D173" i="23"/>
  <c r="C173" i="23"/>
  <c r="Z172" i="23"/>
  <c r="X172" i="23"/>
  <c r="U172" i="23"/>
  <c r="S172" i="23"/>
  <c r="P172" i="23"/>
  <c r="N172" i="23"/>
  <c r="K172" i="23"/>
  <c r="I172" i="23"/>
  <c r="F172" i="23"/>
  <c r="D172" i="23"/>
  <c r="Z171" i="23"/>
  <c r="Y171" i="23"/>
  <c r="X171" i="23"/>
  <c r="W171" i="23"/>
  <c r="U171" i="23"/>
  <c r="T171" i="23"/>
  <c r="S171" i="23"/>
  <c r="R171" i="23"/>
  <c r="P171" i="23"/>
  <c r="O171" i="23"/>
  <c r="N171" i="23"/>
  <c r="M171" i="23"/>
  <c r="K171" i="23"/>
  <c r="J171" i="23"/>
  <c r="I171" i="23"/>
  <c r="H171" i="23"/>
  <c r="F171" i="23"/>
  <c r="E171" i="23"/>
  <c r="D171" i="23"/>
  <c r="C171" i="23"/>
  <c r="Z170" i="23"/>
  <c r="Y170" i="23"/>
  <c r="X170" i="23"/>
  <c r="W170" i="23"/>
  <c r="U170" i="23"/>
  <c r="T170" i="23"/>
  <c r="S170" i="23"/>
  <c r="R170" i="23"/>
  <c r="P170" i="23"/>
  <c r="O170" i="23"/>
  <c r="N170" i="23"/>
  <c r="M170" i="23"/>
  <c r="K170" i="23"/>
  <c r="J170" i="23"/>
  <c r="I170" i="23"/>
  <c r="H170" i="23"/>
  <c r="F170" i="23"/>
  <c r="E170" i="23"/>
  <c r="D170" i="23"/>
  <c r="C170" i="23"/>
  <c r="Z169" i="23"/>
  <c r="Y169" i="23"/>
  <c r="X169" i="23"/>
  <c r="W169" i="23"/>
  <c r="U169" i="23"/>
  <c r="T169" i="23"/>
  <c r="S169" i="23"/>
  <c r="R169" i="23"/>
  <c r="P169" i="23"/>
  <c r="O169" i="23"/>
  <c r="N169" i="23"/>
  <c r="M169" i="23"/>
  <c r="K169" i="23"/>
  <c r="J169" i="23"/>
  <c r="I169" i="23"/>
  <c r="H169" i="23"/>
  <c r="F169" i="23"/>
  <c r="E169" i="23"/>
  <c r="D169" i="23"/>
  <c r="C169" i="23"/>
  <c r="F168" i="23"/>
  <c r="D168" i="23"/>
  <c r="Z160" i="23"/>
  <c r="Y160" i="23"/>
  <c r="X160" i="23"/>
  <c r="W160" i="23"/>
  <c r="U160" i="23"/>
  <c r="T160" i="23"/>
  <c r="S160" i="23"/>
  <c r="R160" i="23"/>
  <c r="P160" i="23"/>
  <c r="O160" i="23"/>
  <c r="N160" i="23"/>
  <c r="M160" i="23"/>
  <c r="K160" i="23"/>
  <c r="J160" i="23"/>
  <c r="I160" i="23"/>
  <c r="H160" i="23"/>
  <c r="F160" i="23"/>
  <c r="E160" i="23"/>
  <c r="D160" i="23"/>
  <c r="C160" i="23"/>
  <c r="Z159" i="23"/>
  <c r="Y159" i="23"/>
  <c r="X159" i="23"/>
  <c r="W159" i="23"/>
  <c r="U159" i="23"/>
  <c r="T159" i="23"/>
  <c r="S159" i="23"/>
  <c r="R159" i="23"/>
  <c r="P159" i="23"/>
  <c r="O159" i="23"/>
  <c r="N159" i="23"/>
  <c r="M159" i="23"/>
  <c r="K159" i="23"/>
  <c r="J159" i="23"/>
  <c r="I159" i="23"/>
  <c r="H159" i="23"/>
  <c r="F159" i="23"/>
  <c r="E159" i="23"/>
  <c r="D159" i="23"/>
  <c r="C159" i="23"/>
  <c r="Z158" i="23"/>
  <c r="X158" i="23"/>
  <c r="U158" i="23"/>
  <c r="S158" i="23"/>
  <c r="P158" i="23"/>
  <c r="N158" i="23"/>
  <c r="K158" i="23"/>
  <c r="I158" i="23"/>
  <c r="F158" i="23"/>
  <c r="D158" i="23"/>
  <c r="Z157" i="23"/>
  <c r="Y157" i="23"/>
  <c r="X157" i="23"/>
  <c r="W157" i="23"/>
  <c r="U157" i="23"/>
  <c r="T157" i="23"/>
  <c r="S157" i="23"/>
  <c r="R157" i="23"/>
  <c r="P157" i="23"/>
  <c r="O157" i="23"/>
  <c r="N157" i="23"/>
  <c r="M157" i="23"/>
  <c r="K157" i="23"/>
  <c r="J157" i="23"/>
  <c r="I157" i="23"/>
  <c r="H157" i="23"/>
  <c r="F157" i="23"/>
  <c r="E157" i="23"/>
  <c r="D157" i="23"/>
  <c r="C157" i="23"/>
  <c r="Z156" i="23"/>
  <c r="Y156" i="23"/>
  <c r="X156" i="23"/>
  <c r="W156" i="23"/>
  <c r="U156" i="23"/>
  <c r="T156" i="23"/>
  <c r="S156" i="23"/>
  <c r="R156" i="23"/>
  <c r="P156" i="23"/>
  <c r="O156" i="23"/>
  <c r="N156" i="23"/>
  <c r="M156" i="23"/>
  <c r="K156" i="23"/>
  <c r="J156" i="23"/>
  <c r="I156" i="23"/>
  <c r="H156" i="23"/>
  <c r="F156" i="23"/>
  <c r="E156" i="23"/>
  <c r="D156" i="23"/>
  <c r="C156" i="23"/>
  <c r="F155" i="23"/>
  <c r="F161" i="23" s="1"/>
  <c r="E12" i="23" s="1"/>
  <c r="D155" i="23"/>
  <c r="Z147" i="23"/>
  <c r="Y147" i="23"/>
  <c r="X147" i="23"/>
  <c r="W147" i="23"/>
  <c r="U147" i="23"/>
  <c r="T147" i="23"/>
  <c r="S147" i="23"/>
  <c r="R147" i="23"/>
  <c r="P147" i="23"/>
  <c r="O147" i="23"/>
  <c r="N147" i="23"/>
  <c r="M147" i="23"/>
  <c r="K147" i="23"/>
  <c r="J147" i="23"/>
  <c r="I147" i="23"/>
  <c r="H147" i="23"/>
  <c r="F147" i="23"/>
  <c r="E147" i="23"/>
  <c r="D147" i="23"/>
  <c r="C147" i="23"/>
  <c r="Z146" i="23"/>
  <c r="Y146" i="23"/>
  <c r="X146" i="23"/>
  <c r="W146" i="23"/>
  <c r="U146" i="23"/>
  <c r="T146" i="23"/>
  <c r="S146" i="23"/>
  <c r="R146" i="23"/>
  <c r="P146" i="23"/>
  <c r="O146" i="23"/>
  <c r="N146" i="23"/>
  <c r="M146" i="23"/>
  <c r="K146" i="23"/>
  <c r="J146" i="23"/>
  <c r="I146" i="23"/>
  <c r="H146" i="23"/>
  <c r="F146" i="23"/>
  <c r="E146" i="23"/>
  <c r="D146" i="23"/>
  <c r="C146" i="23"/>
  <c r="Z145" i="23"/>
  <c r="X145" i="23"/>
  <c r="U145" i="23"/>
  <c r="S145" i="23"/>
  <c r="P145" i="23"/>
  <c r="N145" i="23"/>
  <c r="K145" i="23"/>
  <c r="I145" i="23"/>
  <c r="F145" i="23"/>
  <c r="D145" i="23"/>
  <c r="Z144" i="23"/>
  <c r="Y144" i="23"/>
  <c r="X144" i="23"/>
  <c r="W144" i="23"/>
  <c r="U144" i="23"/>
  <c r="T144" i="23"/>
  <c r="S144" i="23"/>
  <c r="R144" i="23"/>
  <c r="P144" i="23"/>
  <c r="O144" i="23"/>
  <c r="N144" i="23"/>
  <c r="M144" i="23"/>
  <c r="K144" i="23"/>
  <c r="J144" i="23"/>
  <c r="I144" i="23"/>
  <c r="H144" i="23"/>
  <c r="F144" i="23"/>
  <c r="E144" i="23"/>
  <c r="D144" i="23"/>
  <c r="C144" i="23"/>
  <c r="Z143" i="23"/>
  <c r="Y143" i="23"/>
  <c r="X143" i="23"/>
  <c r="W143" i="23"/>
  <c r="U143" i="23"/>
  <c r="T143" i="23"/>
  <c r="S143" i="23"/>
  <c r="R143" i="23"/>
  <c r="P143" i="23"/>
  <c r="O143" i="23"/>
  <c r="N143" i="23"/>
  <c r="M143" i="23"/>
  <c r="K143" i="23"/>
  <c r="J143" i="23"/>
  <c r="I143" i="23"/>
  <c r="H143" i="23"/>
  <c r="F143" i="23"/>
  <c r="E143" i="23"/>
  <c r="D143" i="23"/>
  <c r="C143" i="23"/>
  <c r="Z134" i="23"/>
  <c r="Y134" i="23"/>
  <c r="X134" i="23"/>
  <c r="W134" i="23"/>
  <c r="U134" i="23"/>
  <c r="T134" i="23"/>
  <c r="S134" i="23"/>
  <c r="R134" i="23"/>
  <c r="P134" i="23"/>
  <c r="O134" i="23"/>
  <c r="N134" i="23"/>
  <c r="M134" i="23"/>
  <c r="K134" i="23"/>
  <c r="J134" i="23"/>
  <c r="I134" i="23"/>
  <c r="H134" i="23"/>
  <c r="F134" i="23"/>
  <c r="E134" i="23"/>
  <c r="D134" i="23"/>
  <c r="C134" i="23"/>
  <c r="Z133" i="23"/>
  <c r="Y133" i="23"/>
  <c r="X133" i="23"/>
  <c r="W133" i="23"/>
  <c r="U133" i="23"/>
  <c r="T133" i="23"/>
  <c r="S133" i="23"/>
  <c r="R133" i="23"/>
  <c r="P133" i="23"/>
  <c r="O133" i="23"/>
  <c r="N133" i="23"/>
  <c r="M133" i="23"/>
  <c r="K133" i="23"/>
  <c r="J133" i="23"/>
  <c r="I133" i="23"/>
  <c r="H133" i="23"/>
  <c r="F133" i="23"/>
  <c r="E133" i="23"/>
  <c r="D133" i="23"/>
  <c r="C133" i="23"/>
  <c r="Z132" i="23"/>
  <c r="X132" i="23"/>
  <c r="U132" i="23"/>
  <c r="S132" i="23"/>
  <c r="P132" i="23"/>
  <c r="N132" i="23"/>
  <c r="K132" i="23"/>
  <c r="I132" i="23"/>
  <c r="F132" i="23"/>
  <c r="D132" i="23"/>
  <c r="Y131" i="23"/>
  <c r="W131" i="23"/>
  <c r="X131" i="23"/>
  <c r="T131" i="23"/>
  <c r="O131" i="23"/>
  <c r="M131" i="23"/>
  <c r="P131" i="23"/>
  <c r="I131" i="23"/>
  <c r="H131" i="23"/>
  <c r="E131" i="23"/>
  <c r="C131" i="23"/>
  <c r="D131" i="23"/>
  <c r="Z130" i="23"/>
  <c r="Y130" i="23"/>
  <c r="X130" i="23"/>
  <c r="W130" i="23"/>
  <c r="U130" i="23"/>
  <c r="T130" i="23"/>
  <c r="S130" i="23"/>
  <c r="R130" i="23"/>
  <c r="P130" i="23"/>
  <c r="O130" i="23"/>
  <c r="N130" i="23"/>
  <c r="M130" i="23"/>
  <c r="K130" i="23"/>
  <c r="J130" i="23"/>
  <c r="I130" i="23"/>
  <c r="H130" i="23"/>
  <c r="F130" i="23"/>
  <c r="E130" i="23"/>
  <c r="D130" i="23"/>
  <c r="C130" i="23"/>
  <c r="F129" i="23"/>
  <c r="D129" i="23"/>
  <c r="V118" i="23"/>
  <c r="Q118" i="23"/>
  <c r="L118" i="23"/>
  <c r="G118" i="23"/>
  <c r="F182" i="23" l="1"/>
  <c r="AS77" i="23"/>
  <c r="AN104" i="23"/>
  <c r="AP104" i="23" s="1"/>
  <c r="AG13" i="23"/>
  <c r="D182" i="23"/>
  <c r="D148" i="23"/>
  <c r="F235" i="23"/>
  <c r="AF77" i="23"/>
  <c r="AF83" i="23" s="1"/>
  <c r="AF148" i="23"/>
  <c r="AP143" i="23"/>
  <c r="AR143" i="23"/>
  <c r="AK143" i="23"/>
  <c r="AM143" i="23"/>
  <c r="AS129" i="23"/>
  <c r="AH129" i="23"/>
  <c r="AH135" i="23" s="1"/>
  <c r="AG10" i="23" s="1"/>
  <c r="AX129" i="23"/>
  <c r="AI129" i="23"/>
  <c r="AF129" i="23"/>
  <c r="AF135" i="23" s="1"/>
  <c r="AH29" i="23"/>
  <c r="AH35" i="23" s="1"/>
  <c r="AG6" i="23" s="1"/>
  <c r="AX77" i="23"/>
  <c r="AI104" i="23"/>
  <c r="AX103" i="23"/>
  <c r="AF41" i="23"/>
  <c r="AX41" i="23"/>
  <c r="AI77" i="23"/>
  <c r="AI103" i="23"/>
  <c r="D161" i="23"/>
  <c r="G235" i="23"/>
  <c r="AI42" i="23"/>
  <c r="AF104" i="23"/>
  <c r="AN103" i="23"/>
  <c r="AH116" i="23"/>
  <c r="AH122" i="23" s="1"/>
  <c r="AG11" i="23" s="1"/>
  <c r="AX116" i="23"/>
  <c r="AS116" i="23"/>
  <c r="AI116" i="23"/>
  <c r="AF116" i="23"/>
  <c r="AF122" i="23" s="1"/>
  <c r="AF103" i="23"/>
  <c r="AF109" i="23" s="1"/>
  <c r="AM104" i="23"/>
  <c r="AH103" i="23"/>
  <c r="AH109" i="23" s="1"/>
  <c r="AG12" i="23" s="1"/>
  <c r="AR104" i="23"/>
  <c r="AF90" i="23"/>
  <c r="AF96" i="23" s="1"/>
  <c r="AN90" i="23"/>
  <c r="AS90" i="23"/>
  <c r="AH90" i="23"/>
  <c r="AH96" i="23" s="1"/>
  <c r="AG7" i="23" s="1"/>
  <c r="AX90" i="23"/>
  <c r="AH65" i="23"/>
  <c r="AH53" i="23"/>
  <c r="AH59" i="23" s="1"/>
  <c r="AG4" i="23" s="1"/>
  <c r="AH30" i="23"/>
  <c r="AN30" i="23"/>
  <c r="AP30" i="23" s="1"/>
  <c r="G222" i="23"/>
  <c r="D222" i="23"/>
  <c r="D227" i="23" s="1"/>
  <c r="L222" i="23"/>
  <c r="N222" i="23" s="1"/>
  <c r="F222" i="23"/>
  <c r="AI41" i="23"/>
  <c r="D183" i="23"/>
  <c r="D187" i="23" s="1"/>
  <c r="L261" i="23"/>
  <c r="N261" i="23" s="1"/>
  <c r="N266" i="23" s="1"/>
  <c r="AS41" i="23"/>
  <c r="AN54" i="23"/>
  <c r="D261" i="23"/>
  <c r="D266" i="23" s="1"/>
  <c r="AH41" i="23"/>
  <c r="AF54" i="23"/>
  <c r="AH71" i="23"/>
  <c r="AG9" i="23" s="1"/>
  <c r="AH77" i="23"/>
  <c r="AH83" i="23" s="1"/>
  <c r="AG8" i="23" s="1"/>
  <c r="AF65" i="23"/>
  <c r="AF71" i="23" s="1"/>
  <c r="AH54" i="23"/>
  <c r="AP54" i="23"/>
  <c r="AF53" i="23"/>
  <c r="AF59" i="23" s="1"/>
  <c r="AI54" i="23"/>
  <c r="AH47" i="23"/>
  <c r="AG5" i="23" s="1"/>
  <c r="AF42" i="23"/>
  <c r="AF47" i="23" s="1"/>
  <c r="AN42" i="23"/>
  <c r="AM42" i="23"/>
  <c r="AK42" i="23"/>
  <c r="AF30" i="23"/>
  <c r="AF35" i="23" s="1"/>
  <c r="AI30" i="23"/>
  <c r="F200" i="23"/>
  <c r="F227" i="23"/>
  <c r="E15" i="23" s="1"/>
  <c r="F240" i="23"/>
  <c r="E16" i="23" s="1"/>
  <c r="F266" i="23"/>
  <c r="E18" i="23" s="1"/>
  <c r="D174" i="23"/>
  <c r="D240" i="23"/>
  <c r="G261" i="23"/>
  <c r="F248" i="23"/>
  <c r="F253" i="23" s="1"/>
  <c r="G248" i="23"/>
  <c r="D248" i="23"/>
  <c r="D253" i="23" s="1"/>
  <c r="L248" i="23"/>
  <c r="K235" i="23"/>
  <c r="K240" i="23" s="1"/>
  <c r="L235" i="23"/>
  <c r="N227" i="23"/>
  <c r="K222" i="23"/>
  <c r="K227" i="23" s="1"/>
  <c r="P222" i="23"/>
  <c r="P227" i="23" s="1"/>
  <c r="D200" i="23"/>
  <c r="N187" i="23"/>
  <c r="F183" i="23"/>
  <c r="F187" i="23" s="1"/>
  <c r="E14" i="23" s="1"/>
  <c r="G182" i="23"/>
  <c r="P182" i="23"/>
  <c r="P187" i="23" s="1"/>
  <c r="M14" i="23" s="1"/>
  <c r="F174" i="23"/>
  <c r="D135" i="23"/>
  <c r="U131" i="23"/>
  <c r="F131" i="23"/>
  <c r="F135" i="23" s="1"/>
  <c r="J131" i="23"/>
  <c r="N131" i="23"/>
  <c r="R131" i="23"/>
  <c r="Z131" i="23"/>
  <c r="K131" i="23"/>
  <c r="S131" i="23"/>
  <c r="Z121" i="23"/>
  <c r="Y121" i="23"/>
  <c r="X121" i="23"/>
  <c r="W121" i="23"/>
  <c r="U121" i="23"/>
  <c r="T121" i="23"/>
  <c r="S121" i="23"/>
  <c r="R121" i="23"/>
  <c r="P121" i="23"/>
  <c r="O121" i="23"/>
  <c r="N121" i="23"/>
  <c r="M121" i="23"/>
  <c r="K121" i="23"/>
  <c r="J121" i="23"/>
  <c r="I121" i="23"/>
  <c r="H121" i="23"/>
  <c r="F121" i="23"/>
  <c r="E121" i="23"/>
  <c r="D121" i="23"/>
  <c r="C121" i="23"/>
  <c r="Z120" i="23"/>
  <c r="Y120" i="23"/>
  <c r="X120" i="23"/>
  <c r="W120" i="23"/>
  <c r="U120" i="23"/>
  <c r="T120" i="23"/>
  <c r="S120" i="23"/>
  <c r="R120" i="23"/>
  <c r="P120" i="23"/>
  <c r="O120" i="23"/>
  <c r="N120" i="23"/>
  <c r="M120" i="23"/>
  <c r="K120" i="23"/>
  <c r="J120" i="23"/>
  <c r="I120" i="23"/>
  <c r="H120" i="23"/>
  <c r="F120" i="23"/>
  <c r="E120" i="23"/>
  <c r="D120" i="23"/>
  <c r="C120" i="23"/>
  <c r="Z119" i="23"/>
  <c r="X119" i="23"/>
  <c r="U119" i="23"/>
  <c r="S119" i="23"/>
  <c r="P119" i="23"/>
  <c r="N119" i="23"/>
  <c r="K119" i="23"/>
  <c r="I119" i="23"/>
  <c r="F119" i="23"/>
  <c r="D119" i="23"/>
  <c r="Z118" i="23"/>
  <c r="X118" i="23"/>
  <c r="U118" i="23"/>
  <c r="S118" i="23"/>
  <c r="P118" i="23"/>
  <c r="N118" i="23"/>
  <c r="K118" i="23"/>
  <c r="I118" i="23"/>
  <c r="F118" i="23"/>
  <c r="D118" i="23"/>
  <c r="Z117" i="23"/>
  <c r="Y117" i="23"/>
  <c r="X117" i="23"/>
  <c r="W117" i="23"/>
  <c r="U117" i="23"/>
  <c r="T117" i="23"/>
  <c r="S117" i="23"/>
  <c r="R117" i="23"/>
  <c r="P117" i="23"/>
  <c r="O117" i="23"/>
  <c r="N117" i="23"/>
  <c r="M117" i="23"/>
  <c r="K117" i="23"/>
  <c r="J117" i="23"/>
  <c r="I117" i="23"/>
  <c r="H117" i="23"/>
  <c r="F117" i="23"/>
  <c r="E117" i="23"/>
  <c r="D117" i="23"/>
  <c r="C117" i="23"/>
  <c r="F116" i="23"/>
  <c r="F122" i="23" s="1"/>
  <c r="E10" i="23" s="1"/>
  <c r="D116" i="23"/>
  <c r="D122" i="23" s="1"/>
  <c r="Z108" i="23"/>
  <c r="Y108" i="23"/>
  <c r="X108" i="23"/>
  <c r="W108" i="23"/>
  <c r="Z107" i="23"/>
  <c r="X107" i="23"/>
  <c r="Z106" i="23"/>
  <c r="Y106" i="23"/>
  <c r="X106" i="23"/>
  <c r="W106" i="23"/>
  <c r="Z105" i="23"/>
  <c r="Y105" i="23"/>
  <c r="X105" i="23"/>
  <c r="W105" i="23"/>
  <c r="Z104" i="23"/>
  <c r="Y104" i="23"/>
  <c r="X104" i="23"/>
  <c r="W104" i="23"/>
  <c r="U108" i="23"/>
  <c r="T108" i="23"/>
  <c r="S108" i="23"/>
  <c r="R108" i="23"/>
  <c r="U107" i="23"/>
  <c r="S107" i="23"/>
  <c r="U106" i="23"/>
  <c r="T106" i="23"/>
  <c r="S106" i="23"/>
  <c r="R106" i="23"/>
  <c r="U105" i="23"/>
  <c r="T105" i="23"/>
  <c r="S105" i="23"/>
  <c r="R105" i="23"/>
  <c r="U104" i="23"/>
  <c r="T104" i="23"/>
  <c r="S104" i="23"/>
  <c r="R104" i="23"/>
  <c r="P108" i="23"/>
  <c r="O108" i="23"/>
  <c r="N108" i="23"/>
  <c r="M108" i="23"/>
  <c r="P107" i="23"/>
  <c r="N107" i="23"/>
  <c r="P106" i="23"/>
  <c r="O106" i="23"/>
  <c r="N106" i="23"/>
  <c r="M106" i="23"/>
  <c r="P105" i="23"/>
  <c r="O105" i="23"/>
  <c r="N105" i="23"/>
  <c r="M105" i="23"/>
  <c r="P104" i="23"/>
  <c r="O104" i="23"/>
  <c r="N104" i="23"/>
  <c r="M104" i="23"/>
  <c r="K108" i="23"/>
  <c r="J108" i="23"/>
  <c r="I108" i="23"/>
  <c r="H108" i="23"/>
  <c r="K107" i="23"/>
  <c r="I107" i="23"/>
  <c r="K106" i="23"/>
  <c r="J106" i="23"/>
  <c r="I106" i="23"/>
  <c r="H106" i="23"/>
  <c r="K105" i="23"/>
  <c r="J105" i="23"/>
  <c r="I105" i="23"/>
  <c r="H105" i="23"/>
  <c r="K104" i="23"/>
  <c r="J104" i="23"/>
  <c r="I104" i="23"/>
  <c r="H104" i="23"/>
  <c r="F108" i="23"/>
  <c r="E108" i="23"/>
  <c r="D108" i="23"/>
  <c r="C108" i="23"/>
  <c r="F107" i="23"/>
  <c r="D107" i="23"/>
  <c r="F106" i="23"/>
  <c r="E106" i="23"/>
  <c r="D106" i="23"/>
  <c r="C106" i="23"/>
  <c r="F105" i="23"/>
  <c r="E105" i="23"/>
  <c r="D105" i="23"/>
  <c r="C105" i="23"/>
  <c r="F104" i="23"/>
  <c r="E104" i="23"/>
  <c r="D104" i="23"/>
  <c r="C104" i="23"/>
  <c r="F103" i="23"/>
  <c r="F109" i="23" s="1"/>
  <c r="E9" i="23" s="1"/>
  <c r="D103" i="23"/>
  <c r="D109" i="23" s="1"/>
  <c r="Z95" i="23"/>
  <c r="Y95" i="23"/>
  <c r="X95" i="23"/>
  <c r="W95" i="23"/>
  <c r="Z94" i="23"/>
  <c r="Y94" i="23"/>
  <c r="X94" i="23"/>
  <c r="W94" i="23"/>
  <c r="Z93" i="23"/>
  <c r="X93" i="23"/>
  <c r="Z92" i="23"/>
  <c r="Y92" i="23"/>
  <c r="X92" i="23"/>
  <c r="W92" i="23"/>
  <c r="Z91" i="23"/>
  <c r="Y91" i="23"/>
  <c r="X91" i="23"/>
  <c r="W91" i="23"/>
  <c r="U95" i="23"/>
  <c r="T95" i="23"/>
  <c r="S95" i="23"/>
  <c r="R95" i="23"/>
  <c r="U94" i="23"/>
  <c r="T94" i="23"/>
  <c r="S94" i="23"/>
  <c r="R94" i="23"/>
  <c r="U93" i="23"/>
  <c r="S93" i="23"/>
  <c r="U92" i="23"/>
  <c r="T92" i="23"/>
  <c r="S92" i="23"/>
  <c r="R92" i="23"/>
  <c r="U91" i="23"/>
  <c r="T91" i="23"/>
  <c r="S91" i="23"/>
  <c r="R91" i="23"/>
  <c r="P95" i="23"/>
  <c r="O95" i="23"/>
  <c r="N95" i="23"/>
  <c r="M95" i="23"/>
  <c r="P94" i="23"/>
  <c r="O94" i="23"/>
  <c r="N94" i="23"/>
  <c r="M94" i="23"/>
  <c r="P93" i="23"/>
  <c r="N93" i="23"/>
  <c r="P92" i="23"/>
  <c r="O92" i="23"/>
  <c r="N92" i="23"/>
  <c r="M92" i="23"/>
  <c r="P91" i="23"/>
  <c r="O91" i="23"/>
  <c r="N91" i="23"/>
  <c r="M91" i="23"/>
  <c r="K95" i="23"/>
  <c r="J95" i="23"/>
  <c r="I95" i="23"/>
  <c r="H95" i="23"/>
  <c r="K94" i="23"/>
  <c r="J94" i="23"/>
  <c r="I94" i="23"/>
  <c r="H94" i="23"/>
  <c r="K93" i="23"/>
  <c r="I93" i="23"/>
  <c r="K92" i="23"/>
  <c r="J92" i="23"/>
  <c r="I92" i="23"/>
  <c r="H92" i="23"/>
  <c r="K91" i="23"/>
  <c r="J91" i="23"/>
  <c r="I91" i="23"/>
  <c r="H91" i="23"/>
  <c r="F95" i="23"/>
  <c r="E95" i="23"/>
  <c r="D95" i="23"/>
  <c r="C95" i="23"/>
  <c r="F94" i="23"/>
  <c r="E94" i="23"/>
  <c r="D94" i="23"/>
  <c r="C94" i="23"/>
  <c r="F93" i="23"/>
  <c r="D93" i="23"/>
  <c r="F92" i="23"/>
  <c r="E92" i="23"/>
  <c r="D92" i="23"/>
  <c r="C92" i="23"/>
  <c r="F91" i="23"/>
  <c r="E91" i="23"/>
  <c r="D91" i="23"/>
  <c r="C91" i="23"/>
  <c r="F90" i="23"/>
  <c r="F96" i="23" s="1"/>
  <c r="E8" i="23" s="1"/>
  <c r="D90" i="23"/>
  <c r="D96" i="23" s="1"/>
  <c r="L78" i="23"/>
  <c r="P78" i="23" s="1"/>
  <c r="G78" i="23"/>
  <c r="B78" i="23"/>
  <c r="F78" i="23" s="1"/>
  <c r="Z82" i="23"/>
  <c r="X82" i="23"/>
  <c r="Z81" i="23"/>
  <c r="Y81" i="23"/>
  <c r="X81" i="23"/>
  <c r="W81" i="23"/>
  <c r="Z80" i="23"/>
  <c r="X80" i="23"/>
  <c r="Z79" i="23"/>
  <c r="Y79" i="23"/>
  <c r="X79" i="23"/>
  <c r="W79" i="23"/>
  <c r="Z78" i="23"/>
  <c r="Y78" i="23"/>
  <c r="X78" i="23"/>
  <c r="W78" i="23"/>
  <c r="U82" i="23"/>
  <c r="S82" i="23"/>
  <c r="U81" i="23"/>
  <c r="T81" i="23"/>
  <c r="S81" i="23"/>
  <c r="R81" i="23"/>
  <c r="U80" i="23"/>
  <c r="S80" i="23"/>
  <c r="U79" i="23"/>
  <c r="T79" i="23"/>
  <c r="S79" i="23"/>
  <c r="R79" i="23"/>
  <c r="U78" i="23"/>
  <c r="T78" i="23"/>
  <c r="S78" i="23"/>
  <c r="R78" i="23"/>
  <c r="P82" i="23"/>
  <c r="N82" i="23"/>
  <c r="P81" i="23"/>
  <c r="O81" i="23"/>
  <c r="N81" i="23"/>
  <c r="M81" i="23"/>
  <c r="P80" i="23"/>
  <c r="N80" i="23"/>
  <c r="P79" i="23"/>
  <c r="O79" i="23"/>
  <c r="N79" i="23"/>
  <c r="M79" i="23"/>
  <c r="P77" i="23"/>
  <c r="O77" i="23"/>
  <c r="N77" i="23"/>
  <c r="M77" i="23"/>
  <c r="K82" i="23"/>
  <c r="I82" i="23"/>
  <c r="K81" i="23"/>
  <c r="J81" i="23"/>
  <c r="I81" i="23"/>
  <c r="H81" i="23"/>
  <c r="K80" i="23"/>
  <c r="I80" i="23"/>
  <c r="K79" i="23"/>
  <c r="J79" i="23"/>
  <c r="I79" i="23"/>
  <c r="H79" i="23"/>
  <c r="K77" i="23"/>
  <c r="J77" i="23"/>
  <c r="I77" i="23"/>
  <c r="H77" i="23"/>
  <c r="F82" i="23"/>
  <c r="E82" i="23"/>
  <c r="D82" i="23"/>
  <c r="C82" i="23"/>
  <c r="F81" i="23"/>
  <c r="E81" i="23"/>
  <c r="D81" i="23"/>
  <c r="C81" i="23"/>
  <c r="F80" i="23"/>
  <c r="D80" i="23"/>
  <c r="F79" i="23"/>
  <c r="E79" i="23"/>
  <c r="D79" i="23"/>
  <c r="C79" i="23"/>
  <c r="F77" i="23"/>
  <c r="E77" i="23"/>
  <c r="D77" i="23"/>
  <c r="C77" i="23"/>
  <c r="L66" i="23"/>
  <c r="G66" i="23"/>
  <c r="L30" i="23"/>
  <c r="L54" i="23"/>
  <c r="L42" i="23"/>
  <c r="I235" i="23" l="1"/>
  <c r="I240" i="23" s="1"/>
  <c r="F83" i="23"/>
  <c r="E7" i="23" s="1"/>
  <c r="G42" i="23"/>
  <c r="N78" i="23"/>
  <c r="N83" i="23" s="1"/>
  <c r="AR30" i="23"/>
  <c r="AK104" i="23"/>
  <c r="G30" i="23"/>
  <c r="I222" i="23"/>
  <c r="I227" i="23" s="1"/>
  <c r="P261" i="23"/>
  <c r="P266" i="23" s="1"/>
  <c r="M18" i="23" s="1"/>
  <c r="AR54" i="23"/>
  <c r="AK54" i="23"/>
  <c r="AM54" i="23"/>
  <c r="AP42" i="23"/>
  <c r="AR42" i="23"/>
  <c r="AK30" i="23"/>
  <c r="AM30" i="23"/>
  <c r="K78" i="23"/>
  <c r="K83" i="23"/>
  <c r="I7" i="23" s="1"/>
  <c r="G54" i="23"/>
  <c r="I78" i="23"/>
  <c r="I83" i="23" s="1"/>
  <c r="P83" i="23"/>
  <c r="M7" i="23" s="1"/>
  <c r="E17" i="23"/>
  <c r="I15" i="23"/>
  <c r="E13" i="23"/>
  <c r="E11" i="23"/>
  <c r="M15" i="23"/>
  <c r="I16" i="23"/>
  <c r="I261" i="23"/>
  <c r="I266" i="23" s="1"/>
  <c r="K261" i="23"/>
  <c r="K266" i="23" s="1"/>
  <c r="I18" i="23" s="1"/>
  <c r="I248" i="23"/>
  <c r="I253" i="23" s="1"/>
  <c r="K248" i="23"/>
  <c r="K253" i="23" s="1"/>
  <c r="I17" i="23" s="1"/>
  <c r="P248" i="23"/>
  <c r="P253" i="23" s="1"/>
  <c r="M17" i="23" s="1"/>
  <c r="N248" i="23"/>
  <c r="N253" i="23" s="1"/>
  <c r="N235" i="23"/>
  <c r="N240" i="23" s="1"/>
  <c r="P235" i="23"/>
  <c r="P240" i="23" s="1"/>
  <c r="M16" i="23" s="1"/>
  <c r="I182" i="23"/>
  <c r="I187" i="23" s="1"/>
  <c r="K182" i="23"/>
  <c r="K187" i="23" s="1"/>
  <c r="I14" i="23" s="1"/>
  <c r="D78" i="23"/>
  <c r="D83" i="23" s="1"/>
  <c r="Z70" i="23"/>
  <c r="X70" i="23"/>
  <c r="Z69" i="23"/>
  <c r="Y69" i="23"/>
  <c r="X69" i="23"/>
  <c r="W69" i="23"/>
  <c r="Z68" i="23"/>
  <c r="X68" i="23"/>
  <c r="Z67" i="23"/>
  <c r="Y67" i="23"/>
  <c r="X67" i="23"/>
  <c r="W67" i="23"/>
  <c r="Z66" i="23"/>
  <c r="Y66" i="23"/>
  <c r="X66" i="23"/>
  <c r="W66" i="23"/>
  <c r="U70" i="23"/>
  <c r="S70" i="23"/>
  <c r="U69" i="23"/>
  <c r="T69" i="23"/>
  <c r="S69" i="23"/>
  <c r="R69" i="23"/>
  <c r="U68" i="23"/>
  <c r="S68" i="23"/>
  <c r="U67" i="23"/>
  <c r="T67" i="23"/>
  <c r="S67" i="23"/>
  <c r="R67" i="23"/>
  <c r="U66" i="23"/>
  <c r="T66" i="23"/>
  <c r="S66" i="23"/>
  <c r="R66" i="23"/>
  <c r="P70" i="23"/>
  <c r="N70" i="23"/>
  <c r="P69" i="23"/>
  <c r="O69" i="23"/>
  <c r="N69" i="23"/>
  <c r="M69" i="23"/>
  <c r="P68" i="23"/>
  <c r="N68" i="23"/>
  <c r="P67" i="23"/>
  <c r="O67" i="23"/>
  <c r="N67" i="23"/>
  <c r="M67" i="23"/>
  <c r="P66" i="23"/>
  <c r="N66" i="23"/>
  <c r="P65" i="23"/>
  <c r="P71" i="23" s="1"/>
  <c r="M6" i="23" s="1"/>
  <c r="O65" i="23"/>
  <c r="N65" i="23"/>
  <c r="N71" i="23" s="1"/>
  <c r="M65" i="23"/>
  <c r="K70" i="23"/>
  <c r="I70" i="23"/>
  <c r="K69" i="23"/>
  <c r="J69" i="23"/>
  <c r="I69" i="23"/>
  <c r="H69" i="23"/>
  <c r="K68" i="23"/>
  <c r="I68" i="23"/>
  <c r="K67" i="23"/>
  <c r="J67" i="23"/>
  <c r="I67" i="23"/>
  <c r="H67" i="23"/>
  <c r="K66" i="23"/>
  <c r="I66" i="23"/>
  <c r="K65" i="23"/>
  <c r="K71" i="23" s="1"/>
  <c r="I6" i="23" s="1"/>
  <c r="J65" i="23"/>
  <c r="I65" i="23"/>
  <c r="I71" i="23" s="1"/>
  <c r="H65" i="23"/>
  <c r="F70" i="23"/>
  <c r="E70" i="23"/>
  <c r="D70" i="23"/>
  <c r="C70" i="23"/>
  <c r="F69" i="23"/>
  <c r="E69" i="23"/>
  <c r="D69" i="23"/>
  <c r="C69" i="23"/>
  <c r="F68" i="23"/>
  <c r="D68" i="23"/>
  <c r="F67" i="23"/>
  <c r="E67" i="23"/>
  <c r="D67" i="23"/>
  <c r="C67" i="23"/>
  <c r="F66" i="23"/>
  <c r="D66" i="23"/>
  <c r="F65" i="23"/>
  <c r="F71" i="23" s="1"/>
  <c r="E6" i="23" s="1"/>
  <c r="E65" i="23"/>
  <c r="D65" i="23"/>
  <c r="D71" i="23" s="1"/>
  <c r="C65" i="23"/>
  <c r="Z57" i="23" l="1"/>
  <c r="X57" i="23"/>
  <c r="U57" i="23"/>
  <c r="S57" i="23"/>
  <c r="P57" i="23"/>
  <c r="N57" i="23"/>
  <c r="Z45" i="23"/>
  <c r="Y45" i="23"/>
  <c r="X45" i="23"/>
  <c r="W45" i="23"/>
  <c r="U45" i="23"/>
  <c r="T45" i="23"/>
  <c r="S45" i="23"/>
  <c r="R45" i="23"/>
  <c r="P45" i="23"/>
  <c r="O45" i="23"/>
  <c r="N45" i="23"/>
  <c r="M45" i="23"/>
  <c r="Z58" i="23"/>
  <c r="Y58" i="23"/>
  <c r="X58" i="23"/>
  <c r="W58" i="23"/>
  <c r="U58" i="23"/>
  <c r="T58" i="23"/>
  <c r="S58" i="23"/>
  <c r="R58" i="23"/>
  <c r="P58" i="23"/>
  <c r="O58" i="23"/>
  <c r="N58" i="23"/>
  <c r="M58" i="23"/>
  <c r="K58" i="23"/>
  <c r="J58" i="23"/>
  <c r="I58" i="23"/>
  <c r="H58" i="23"/>
  <c r="F58" i="23"/>
  <c r="E58" i="23"/>
  <c r="D58" i="23"/>
  <c r="C58" i="23"/>
  <c r="K57" i="23"/>
  <c r="I57" i="23"/>
  <c r="F57" i="23"/>
  <c r="D57" i="23"/>
  <c r="Z56" i="23"/>
  <c r="Y56" i="23"/>
  <c r="X56" i="23"/>
  <c r="W56" i="23"/>
  <c r="U56" i="23"/>
  <c r="T56" i="23"/>
  <c r="S56" i="23"/>
  <c r="R56" i="23"/>
  <c r="P56" i="23"/>
  <c r="O56" i="23"/>
  <c r="N56" i="23"/>
  <c r="M56" i="23"/>
  <c r="K56" i="23"/>
  <c r="J56" i="23"/>
  <c r="I56" i="23"/>
  <c r="H56" i="23"/>
  <c r="F56" i="23"/>
  <c r="E56" i="23"/>
  <c r="D56" i="23"/>
  <c r="C56" i="23"/>
  <c r="Z55" i="23"/>
  <c r="Y55" i="23"/>
  <c r="X55" i="23"/>
  <c r="W55" i="23"/>
  <c r="U55" i="23"/>
  <c r="T55" i="23"/>
  <c r="S55" i="23"/>
  <c r="R55" i="23"/>
  <c r="P55" i="23"/>
  <c r="O55" i="23"/>
  <c r="N55" i="23"/>
  <c r="M55" i="23"/>
  <c r="K55" i="23"/>
  <c r="J55" i="23"/>
  <c r="I55" i="23"/>
  <c r="H55" i="23"/>
  <c r="F55" i="23"/>
  <c r="E55" i="23"/>
  <c r="D55" i="23"/>
  <c r="C55" i="23"/>
  <c r="Z54" i="23"/>
  <c r="Y54" i="23"/>
  <c r="X54" i="23"/>
  <c r="W54" i="23"/>
  <c r="U54" i="23"/>
  <c r="T54" i="23"/>
  <c r="S54" i="23"/>
  <c r="R54" i="23"/>
  <c r="P54" i="23"/>
  <c r="N54" i="23"/>
  <c r="K54" i="23"/>
  <c r="I54" i="23"/>
  <c r="F54" i="23"/>
  <c r="E54" i="23"/>
  <c r="D54" i="23"/>
  <c r="P53" i="23"/>
  <c r="P59" i="23" s="1"/>
  <c r="M5" i="23" s="1"/>
  <c r="O53" i="23"/>
  <c r="N53" i="23"/>
  <c r="M53" i="23"/>
  <c r="K53" i="23"/>
  <c r="J53" i="23"/>
  <c r="I53" i="23"/>
  <c r="H53" i="23"/>
  <c r="F53" i="23"/>
  <c r="E53" i="23"/>
  <c r="D53" i="23"/>
  <c r="C53" i="23"/>
  <c r="Z46" i="23"/>
  <c r="X46" i="23"/>
  <c r="Z44" i="23"/>
  <c r="X44" i="23"/>
  <c r="Z43" i="23"/>
  <c r="Y43" i="23"/>
  <c r="X43" i="23"/>
  <c r="W43" i="23"/>
  <c r="Z42" i="23"/>
  <c r="Y42" i="23"/>
  <c r="X42" i="23"/>
  <c r="W42" i="23"/>
  <c r="U46" i="23"/>
  <c r="S46" i="23"/>
  <c r="U44" i="23"/>
  <c r="S44" i="23"/>
  <c r="U43" i="23"/>
  <c r="T43" i="23"/>
  <c r="S43" i="23"/>
  <c r="R43" i="23"/>
  <c r="U42" i="23"/>
  <c r="T42" i="23"/>
  <c r="S42" i="23"/>
  <c r="R42" i="23"/>
  <c r="P46" i="23"/>
  <c r="N46" i="23"/>
  <c r="P44" i="23"/>
  <c r="N44" i="23"/>
  <c r="P43" i="23"/>
  <c r="O43" i="23"/>
  <c r="N43" i="23"/>
  <c r="M43" i="23"/>
  <c r="P42" i="23"/>
  <c r="N42" i="23"/>
  <c r="P41" i="23"/>
  <c r="O41" i="23"/>
  <c r="N41" i="23"/>
  <c r="M41" i="23"/>
  <c r="K46" i="23"/>
  <c r="I46" i="23"/>
  <c r="K45" i="23"/>
  <c r="J45" i="23"/>
  <c r="I45" i="23"/>
  <c r="H45" i="23"/>
  <c r="K44" i="23"/>
  <c r="I44" i="23"/>
  <c r="K43" i="23"/>
  <c r="J43" i="23"/>
  <c r="I43" i="23"/>
  <c r="H43" i="23"/>
  <c r="K42" i="23"/>
  <c r="I42" i="23"/>
  <c r="K41" i="23"/>
  <c r="J41" i="23"/>
  <c r="I41" i="23"/>
  <c r="H41" i="23"/>
  <c r="F46" i="23"/>
  <c r="E46" i="23"/>
  <c r="D46" i="23"/>
  <c r="C46" i="23"/>
  <c r="F45" i="23"/>
  <c r="E45" i="23"/>
  <c r="D45" i="23"/>
  <c r="C45" i="23"/>
  <c r="F44" i="23"/>
  <c r="D44" i="23"/>
  <c r="F43" i="23"/>
  <c r="E43" i="23"/>
  <c r="D43" i="23"/>
  <c r="C43" i="23"/>
  <c r="F42" i="23"/>
  <c r="E42" i="23"/>
  <c r="D42" i="23"/>
  <c r="F41" i="23"/>
  <c r="E41" i="23"/>
  <c r="D41" i="23"/>
  <c r="C41" i="23"/>
  <c r="F34" i="23"/>
  <c r="F33" i="23"/>
  <c r="F32" i="23"/>
  <c r="F31" i="23"/>
  <c r="F30" i="23"/>
  <c r="F29" i="23"/>
  <c r="D34" i="23"/>
  <c r="D33" i="23"/>
  <c r="D32" i="23"/>
  <c r="D31" i="23"/>
  <c r="D30" i="23"/>
  <c r="C34" i="23"/>
  <c r="C33" i="23"/>
  <c r="C31" i="23"/>
  <c r="E34" i="23"/>
  <c r="E33" i="23"/>
  <c r="E31" i="23"/>
  <c r="E29" i="23"/>
  <c r="D29" i="23"/>
  <c r="C29" i="23"/>
  <c r="K34" i="23"/>
  <c r="K33" i="23"/>
  <c r="K32" i="23"/>
  <c r="K31" i="23"/>
  <c r="K30" i="23"/>
  <c r="K29" i="23"/>
  <c r="I32" i="23"/>
  <c r="J33" i="23"/>
  <c r="J31" i="23"/>
  <c r="J29" i="23"/>
  <c r="I34" i="23"/>
  <c r="H33" i="23"/>
  <c r="I33" i="23"/>
  <c r="I31" i="23"/>
  <c r="I30" i="23"/>
  <c r="I29" i="23"/>
  <c r="H31" i="23"/>
  <c r="H29" i="23"/>
  <c r="Z34" i="23"/>
  <c r="X34" i="23"/>
  <c r="Z33" i="23"/>
  <c r="Y33" i="23"/>
  <c r="X33" i="23"/>
  <c r="W33" i="23"/>
  <c r="Z32" i="23"/>
  <c r="X32" i="23"/>
  <c r="Z31" i="23"/>
  <c r="Y31" i="23"/>
  <c r="X31" i="23"/>
  <c r="W31" i="23"/>
  <c r="Z30" i="23"/>
  <c r="Y30" i="23"/>
  <c r="X30" i="23"/>
  <c r="W30" i="23"/>
  <c r="U34" i="23"/>
  <c r="S34" i="23"/>
  <c r="U33" i="23"/>
  <c r="T33" i="23"/>
  <c r="S33" i="23"/>
  <c r="R33" i="23"/>
  <c r="U32" i="23"/>
  <c r="S32" i="23"/>
  <c r="U31" i="23"/>
  <c r="T31" i="23"/>
  <c r="S31" i="23"/>
  <c r="R31" i="23"/>
  <c r="U30" i="23"/>
  <c r="T30" i="23"/>
  <c r="S30" i="23"/>
  <c r="R30" i="23"/>
  <c r="P34" i="23"/>
  <c r="P33" i="23"/>
  <c r="O33" i="23"/>
  <c r="N33" i="23"/>
  <c r="M33" i="23"/>
  <c r="N32" i="23"/>
  <c r="P32" i="23"/>
  <c r="P31" i="23"/>
  <c r="O31" i="23"/>
  <c r="N31" i="23"/>
  <c r="M31" i="23"/>
  <c r="N30" i="23"/>
  <c r="P29" i="23"/>
  <c r="O29" i="23"/>
  <c r="P30" i="23"/>
  <c r="N29" i="23"/>
  <c r="M29" i="23"/>
  <c r="N34" i="23"/>
  <c r="G7" i="18"/>
  <c r="E7" i="18"/>
  <c r="E5" i="16" s="1"/>
  <c r="D7" i="18"/>
  <c r="D5" i="16" s="1"/>
  <c r="C7" i="18"/>
  <c r="C11" i="18"/>
  <c r="E30" i="23" s="1"/>
  <c r="C8" i="18"/>
  <c r="C5" i="16" l="1"/>
  <c r="AQ182" i="23"/>
  <c r="BA207" i="23"/>
  <c r="AV194" i="23"/>
  <c r="AL194" i="23"/>
  <c r="AQ194" i="23"/>
  <c r="AV168" i="23"/>
  <c r="BA194" i="23"/>
  <c r="BA65" i="23"/>
  <c r="AV65" i="23"/>
  <c r="AQ65" i="23"/>
  <c r="AL65" i="23"/>
  <c r="AQ168" i="23"/>
  <c r="AQ155" i="23"/>
  <c r="AV182" i="23"/>
  <c r="AL182" i="23"/>
  <c r="AQ207" i="23"/>
  <c r="AL207" i="23"/>
  <c r="BA182" i="23"/>
  <c r="AV207" i="23"/>
  <c r="O129" i="23"/>
  <c r="AL168" i="23"/>
  <c r="Y207" i="23"/>
  <c r="O207" i="23"/>
  <c r="Y194" i="23"/>
  <c r="O194" i="23"/>
  <c r="Y168" i="23"/>
  <c r="J207" i="23"/>
  <c r="J194" i="23"/>
  <c r="Y155" i="23"/>
  <c r="Y142" i="23"/>
  <c r="J142" i="23"/>
  <c r="Y129" i="23"/>
  <c r="T116" i="23"/>
  <c r="T103" i="23"/>
  <c r="T90" i="23"/>
  <c r="O155" i="23"/>
  <c r="J129" i="23"/>
  <c r="J103" i="23"/>
  <c r="T168" i="23"/>
  <c r="T155" i="23"/>
  <c r="T142" i="23"/>
  <c r="T129" i="23"/>
  <c r="O116" i="23"/>
  <c r="O103" i="23"/>
  <c r="O90" i="23"/>
  <c r="O168" i="23"/>
  <c r="J90" i="23"/>
  <c r="T207" i="23"/>
  <c r="T194" i="23"/>
  <c r="J168" i="23"/>
  <c r="J155" i="23"/>
  <c r="Y116" i="23"/>
  <c r="Y103" i="23"/>
  <c r="Y90" i="23"/>
  <c r="O142" i="23"/>
  <c r="J116" i="23"/>
  <c r="BA155" i="23"/>
  <c r="AL90" i="23"/>
  <c r="AV155" i="23"/>
  <c r="AQ129" i="23"/>
  <c r="AQ77" i="23"/>
  <c r="AQ116" i="23"/>
  <c r="AL155" i="23"/>
  <c r="BA168" i="23"/>
  <c r="AV77" i="23"/>
  <c r="BA129" i="23"/>
  <c r="AV90" i="23"/>
  <c r="AV116" i="23"/>
  <c r="AL116" i="23"/>
  <c r="AV129" i="23"/>
  <c r="BA116" i="23"/>
  <c r="AL77" i="23"/>
  <c r="AL129" i="23"/>
  <c r="BA77" i="23"/>
  <c r="BA90" i="23"/>
  <c r="AQ90" i="23"/>
  <c r="H7" i="18"/>
  <c r="C6" i="16"/>
  <c r="AG221" i="23"/>
  <c r="AG194" i="23"/>
  <c r="AG207" i="23"/>
  <c r="AG182" i="23"/>
  <c r="AG245" i="23"/>
  <c r="AG233" i="23"/>
  <c r="AG168" i="23"/>
  <c r="AG155" i="23"/>
  <c r="AG142" i="23"/>
  <c r="E207" i="23"/>
  <c r="E194" i="23"/>
  <c r="E129" i="23"/>
  <c r="E142" i="23"/>
  <c r="E168" i="23"/>
  <c r="E155" i="23"/>
  <c r="AG129" i="23"/>
  <c r="AG65" i="23"/>
  <c r="AG116" i="23"/>
  <c r="AG41" i="23"/>
  <c r="AG90" i="23"/>
  <c r="AG53" i="23"/>
  <c r="AG103" i="23"/>
  <c r="AG77" i="23"/>
  <c r="E116" i="23"/>
  <c r="E103" i="23"/>
  <c r="AG29" i="23"/>
  <c r="E90" i="23"/>
  <c r="C9" i="16"/>
  <c r="AG246" i="23"/>
  <c r="AG234" i="23"/>
  <c r="AG222" i="23"/>
  <c r="AG143" i="23"/>
  <c r="E248" i="23"/>
  <c r="AG54" i="23"/>
  <c r="E235" i="23"/>
  <c r="AG42" i="23"/>
  <c r="AG104" i="23"/>
  <c r="E261" i="23"/>
  <c r="E222" i="23"/>
  <c r="E182" i="23"/>
  <c r="AG30" i="23"/>
  <c r="E66" i="23"/>
  <c r="E78" i="23"/>
  <c r="J7" i="18"/>
  <c r="G5" i="16"/>
  <c r="AJ194" i="23"/>
  <c r="AO194" i="23"/>
  <c r="AT194" i="23"/>
  <c r="AY207" i="23"/>
  <c r="AT207" i="23"/>
  <c r="AT168" i="23"/>
  <c r="AO207" i="23"/>
  <c r="AJ207" i="23"/>
  <c r="AY182" i="23"/>
  <c r="AO155" i="23"/>
  <c r="AY65" i="23"/>
  <c r="AT65" i="23"/>
  <c r="AO65" i="23"/>
  <c r="AJ65" i="23"/>
  <c r="AJ168" i="23"/>
  <c r="R207" i="23"/>
  <c r="H207" i="23"/>
  <c r="R194" i="23"/>
  <c r="H194" i="23"/>
  <c r="AO182" i="23"/>
  <c r="R168" i="23"/>
  <c r="M168" i="23"/>
  <c r="H168" i="23"/>
  <c r="W155" i="23"/>
  <c r="R155" i="23"/>
  <c r="M155" i="23"/>
  <c r="H155" i="23"/>
  <c r="W142" i="23"/>
  <c r="R142" i="23"/>
  <c r="M142" i="23"/>
  <c r="H142" i="23"/>
  <c r="W129" i="23"/>
  <c r="R129" i="23"/>
  <c r="H129" i="23"/>
  <c r="W116" i="23"/>
  <c r="R116" i="23"/>
  <c r="M116" i="23"/>
  <c r="H116" i="23"/>
  <c r="W103" i="23"/>
  <c r="R103" i="23"/>
  <c r="M103" i="23"/>
  <c r="H103" i="23"/>
  <c r="W90" i="23"/>
  <c r="R90" i="23"/>
  <c r="M90" i="23"/>
  <c r="H90" i="23"/>
  <c r="AT182" i="23"/>
  <c r="W207" i="23"/>
  <c r="M207" i="23"/>
  <c r="W194" i="23"/>
  <c r="M194" i="23"/>
  <c r="W168" i="23"/>
  <c r="M129" i="23"/>
  <c r="AJ182" i="23"/>
  <c r="AO168" i="23"/>
  <c r="AY194" i="23"/>
  <c r="AY168" i="23"/>
  <c r="AT155" i="23"/>
  <c r="AJ155" i="23"/>
  <c r="AY155" i="23"/>
  <c r="AO129" i="23"/>
  <c r="AO77" i="23"/>
  <c r="AJ90" i="23"/>
  <c r="AO116" i="23"/>
  <c r="AT77" i="23"/>
  <c r="AY90" i="23"/>
  <c r="AO90" i="23"/>
  <c r="AY77" i="23"/>
  <c r="AJ129" i="23"/>
  <c r="AY129" i="23"/>
  <c r="AT90" i="23"/>
  <c r="AT116" i="23"/>
  <c r="AJ116" i="23"/>
  <c r="AY116" i="23"/>
  <c r="AJ77" i="23"/>
  <c r="AT129" i="23"/>
  <c r="K7" i="18"/>
  <c r="K47" i="23"/>
  <c r="I47" i="23"/>
  <c r="D47" i="23"/>
  <c r="F47" i="23"/>
  <c r="N59" i="23"/>
  <c r="K59" i="23"/>
  <c r="I5" i="23" s="1"/>
  <c r="I59" i="23"/>
  <c r="F59" i="23"/>
  <c r="D59" i="23"/>
  <c r="P47" i="23"/>
  <c r="N47" i="23"/>
  <c r="F35" i="23"/>
  <c r="N35" i="23"/>
  <c r="P35" i="23"/>
  <c r="I35" i="23"/>
  <c r="K35" i="23"/>
  <c r="D35" i="23"/>
  <c r="K5" i="16" l="1"/>
  <c r="BB207" i="23"/>
  <c r="BB213" i="23" s="1"/>
  <c r="AW16" i="23" s="1"/>
  <c r="AM194" i="23"/>
  <c r="AM200" i="23" s="1"/>
  <c r="AK17" i="23" s="1"/>
  <c r="AR194" i="23"/>
  <c r="AR200" i="23" s="1"/>
  <c r="AO17" i="23" s="1"/>
  <c r="AM207" i="23"/>
  <c r="AM213" i="23" s="1"/>
  <c r="AK16" i="23" s="1"/>
  <c r="AR168" i="23"/>
  <c r="AR174" i="23" s="1"/>
  <c r="AO13" i="23" s="1"/>
  <c r="AW194" i="23"/>
  <c r="AW200" i="23" s="1"/>
  <c r="AS17" i="23" s="1"/>
  <c r="AR182" i="23"/>
  <c r="AR188" i="23" s="1"/>
  <c r="AO18" i="23" s="1"/>
  <c r="AW182" i="23"/>
  <c r="AW188" i="23" s="1"/>
  <c r="AS18" i="23" s="1"/>
  <c r="AM182" i="23"/>
  <c r="AM188" i="23" s="1"/>
  <c r="AK18" i="23" s="1"/>
  <c r="BB182" i="23"/>
  <c r="BB188" i="23" s="1"/>
  <c r="AW18" i="23" s="1"/>
  <c r="AW207" i="23"/>
  <c r="AW213" i="23" s="1"/>
  <c r="AS16" i="23" s="1"/>
  <c r="AW168" i="23"/>
  <c r="AW174" i="23" s="1"/>
  <c r="AS13" i="23" s="1"/>
  <c r="BB194" i="23"/>
  <c r="BB200" i="23" s="1"/>
  <c r="AW17" i="23" s="1"/>
  <c r="AM168" i="23"/>
  <c r="AM174" i="23" s="1"/>
  <c r="AK13" i="23" s="1"/>
  <c r="Z207" i="23"/>
  <c r="Z213" i="23" s="1"/>
  <c r="U207" i="23"/>
  <c r="U213" i="23" s="1"/>
  <c r="P207" i="23"/>
  <c r="P213" i="23" s="1"/>
  <c r="K207" i="23"/>
  <c r="K213" i="23" s="1"/>
  <c r="Z194" i="23"/>
  <c r="Z200" i="23" s="1"/>
  <c r="U194" i="23"/>
  <c r="U200" i="23" s="1"/>
  <c r="P194" i="23"/>
  <c r="P200" i="23" s="1"/>
  <c r="K194" i="23"/>
  <c r="K200" i="23" s="1"/>
  <c r="Z168" i="23"/>
  <c r="Z174" i="23" s="1"/>
  <c r="U13" i="23" s="1"/>
  <c r="U168" i="23"/>
  <c r="U174" i="23" s="1"/>
  <c r="Q13" i="23" s="1"/>
  <c r="AR65" i="23"/>
  <c r="AR71" i="23" s="1"/>
  <c r="AO9" i="23" s="1"/>
  <c r="AM65" i="23"/>
  <c r="AM71" i="23" s="1"/>
  <c r="AK9" i="23" s="1"/>
  <c r="P129" i="23"/>
  <c r="P135" i="23" s="1"/>
  <c r="M11" i="23" s="1"/>
  <c r="AR207" i="23"/>
  <c r="AR213" i="23" s="1"/>
  <c r="AO16" i="23" s="1"/>
  <c r="BB65" i="23"/>
  <c r="BB71" i="23" s="1"/>
  <c r="AW9" i="23" s="1"/>
  <c r="P168" i="23"/>
  <c r="P174" i="23" s="1"/>
  <c r="M13" i="23" s="1"/>
  <c r="K168" i="23"/>
  <c r="K174" i="23" s="1"/>
  <c r="I13" i="23" s="1"/>
  <c r="Z155" i="23"/>
  <c r="Z161" i="23" s="1"/>
  <c r="U12" i="23" s="1"/>
  <c r="U155" i="23"/>
  <c r="U161" i="23" s="1"/>
  <c r="Q12" i="23" s="1"/>
  <c r="P155" i="23"/>
  <c r="P161" i="23" s="1"/>
  <c r="M12" i="23" s="1"/>
  <c r="K155" i="23"/>
  <c r="K161" i="23" s="1"/>
  <c r="I12" i="23" s="1"/>
  <c r="Z142" i="23"/>
  <c r="Z148" i="23" s="1"/>
  <c r="U142" i="23"/>
  <c r="U148" i="23" s="1"/>
  <c r="P142" i="23"/>
  <c r="P148" i="23" s="1"/>
  <c r="K142" i="23"/>
  <c r="K148" i="23" s="1"/>
  <c r="Z129" i="23"/>
  <c r="Z135" i="23" s="1"/>
  <c r="U11" i="23" s="1"/>
  <c r="U129" i="23"/>
  <c r="U135" i="23" s="1"/>
  <c r="Q11" i="23" s="1"/>
  <c r="K129" i="23"/>
  <c r="K135" i="23" s="1"/>
  <c r="I11" i="23" s="1"/>
  <c r="Z116" i="23"/>
  <c r="Z122" i="23" s="1"/>
  <c r="U10" i="23" s="1"/>
  <c r="U116" i="23"/>
  <c r="U122" i="23" s="1"/>
  <c r="Q10" i="23" s="1"/>
  <c r="P116" i="23"/>
  <c r="P122" i="23" s="1"/>
  <c r="M10" i="23" s="1"/>
  <c r="K116" i="23"/>
  <c r="K122" i="23" s="1"/>
  <c r="I10" i="23" s="1"/>
  <c r="Z103" i="23"/>
  <c r="Z109" i="23" s="1"/>
  <c r="U9" i="23" s="1"/>
  <c r="U103" i="23"/>
  <c r="U109" i="23" s="1"/>
  <c r="Q9" i="23" s="1"/>
  <c r="P103" i="23"/>
  <c r="P109" i="23" s="1"/>
  <c r="M9" i="23" s="1"/>
  <c r="K103" i="23"/>
  <c r="K109" i="23" s="1"/>
  <c r="I9" i="23" s="1"/>
  <c r="Z90" i="23"/>
  <c r="Z96" i="23" s="1"/>
  <c r="U8" i="23" s="1"/>
  <c r="U90" i="23"/>
  <c r="U96" i="23" s="1"/>
  <c r="P90" i="23"/>
  <c r="P96" i="23" s="1"/>
  <c r="M8" i="23" s="1"/>
  <c r="K90" i="23"/>
  <c r="K96" i="23" s="1"/>
  <c r="I8" i="23" s="1"/>
  <c r="AW65" i="23"/>
  <c r="AW71" i="23" s="1"/>
  <c r="AS9" i="23" s="1"/>
  <c r="AR155" i="23"/>
  <c r="AR161" i="23" s="1"/>
  <c r="AO14" i="23" s="1"/>
  <c r="AR129" i="23"/>
  <c r="AR135" i="23" s="1"/>
  <c r="AO10" i="23" s="1"/>
  <c r="AR77" i="23"/>
  <c r="AR83" i="23" s="1"/>
  <c r="AO8" i="23" s="1"/>
  <c r="BB168" i="23"/>
  <c r="BB174" i="23" s="1"/>
  <c r="AW13" i="23" s="1"/>
  <c r="AW77" i="23"/>
  <c r="AW83" i="23" s="1"/>
  <c r="AS8" i="23" s="1"/>
  <c r="AW155" i="23"/>
  <c r="AW161" i="23" s="1"/>
  <c r="AS14" i="23" s="1"/>
  <c r="AR116" i="23"/>
  <c r="AR122" i="23" s="1"/>
  <c r="AO11" i="23" s="1"/>
  <c r="AM155" i="23"/>
  <c r="AM161" i="23" s="1"/>
  <c r="AK14" i="23" s="1"/>
  <c r="BB155" i="23"/>
  <c r="BB161" i="23" s="1"/>
  <c r="AW14" i="23" s="1"/>
  <c r="AM90" i="23"/>
  <c r="AM96" i="23" s="1"/>
  <c r="AK7" i="23" s="1"/>
  <c r="AW129" i="23"/>
  <c r="AW135" i="23" s="1"/>
  <c r="AS10" i="23" s="1"/>
  <c r="BB116" i="23"/>
  <c r="BB122" i="23" s="1"/>
  <c r="AW11" i="23" s="1"/>
  <c r="AM77" i="23"/>
  <c r="AM83" i="23" s="1"/>
  <c r="AK8" i="23" s="1"/>
  <c r="AW90" i="23"/>
  <c r="AW96" i="23" s="1"/>
  <c r="AS7" i="23" s="1"/>
  <c r="BB77" i="23"/>
  <c r="BB83" i="23" s="1"/>
  <c r="AW8" i="23" s="1"/>
  <c r="BB90" i="23"/>
  <c r="BB96" i="23" s="1"/>
  <c r="AW7" i="23" s="1"/>
  <c r="AM116" i="23"/>
  <c r="AM122" i="23" s="1"/>
  <c r="AK11" i="23" s="1"/>
  <c r="AM129" i="23"/>
  <c r="AM135" i="23" s="1"/>
  <c r="AK10" i="23" s="1"/>
  <c r="AR90" i="23"/>
  <c r="AR96" i="23" s="1"/>
  <c r="AO7" i="23" s="1"/>
  <c r="BB129" i="23"/>
  <c r="BB135" i="23" s="1"/>
  <c r="AW10" i="23" s="1"/>
  <c r="AW116" i="23"/>
  <c r="AW122" i="23" s="1"/>
  <c r="AS11" i="23" s="1"/>
  <c r="H5" i="16"/>
  <c r="AP194" i="23"/>
  <c r="AP200" i="23" s="1"/>
  <c r="AK194" i="23"/>
  <c r="AK200" i="23" s="1"/>
  <c r="AU194" i="23"/>
  <c r="AU200" i="23" s="1"/>
  <c r="AZ207" i="23"/>
  <c r="AZ213" i="23" s="1"/>
  <c r="AK182" i="23"/>
  <c r="AK188" i="23" s="1"/>
  <c r="AU182" i="23"/>
  <c r="AU188" i="23" s="1"/>
  <c r="AZ182" i="23"/>
  <c r="AZ188" i="23" s="1"/>
  <c r="AP207" i="23"/>
  <c r="AP213" i="23" s="1"/>
  <c r="AK168" i="23"/>
  <c r="AK174" i="23" s="1"/>
  <c r="AP155" i="23"/>
  <c r="AP161" i="23" s="1"/>
  <c r="X207" i="23"/>
  <c r="X213" i="23" s="1"/>
  <c r="S207" i="23"/>
  <c r="S213" i="23" s="1"/>
  <c r="N207" i="23"/>
  <c r="N213" i="23" s="1"/>
  <c r="I207" i="23"/>
  <c r="I213" i="23" s="1"/>
  <c r="X194" i="23"/>
  <c r="X200" i="23" s="1"/>
  <c r="S194" i="23"/>
  <c r="S200" i="23" s="1"/>
  <c r="N194" i="23"/>
  <c r="N200" i="23" s="1"/>
  <c r="I194" i="23"/>
  <c r="I200" i="23" s="1"/>
  <c r="X168" i="23"/>
  <c r="X174" i="23" s="1"/>
  <c r="AZ194" i="23"/>
  <c r="AZ200" i="23" s="1"/>
  <c r="AZ65" i="23"/>
  <c r="AZ71" i="23" s="1"/>
  <c r="AU65" i="23"/>
  <c r="AU71" i="23" s="1"/>
  <c r="AP65" i="23"/>
  <c r="AP71" i="23" s="1"/>
  <c r="AK65" i="23"/>
  <c r="AK71" i="23" s="1"/>
  <c r="AP182" i="23"/>
  <c r="AP188" i="23" s="1"/>
  <c r="AU207" i="23"/>
  <c r="AU213" i="23" s="1"/>
  <c r="AP168" i="23"/>
  <c r="AP174" i="23" s="1"/>
  <c r="AP116" i="23"/>
  <c r="AP122" i="23" s="1"/>
  <c r="S168" i="23"/>
  <c r="S174" i="23" s="1"/>
  <c r="N168" i="23"/>
  <c r="N174" i="23" s="1"/>
  <c r="I168" i="23"/>
  <c r="I174" i="23" s="1"/>
  <c r="X155" i="23"/>
  <c r="X161" i="23" s="1"/>
  <c r="S155" i="23"/>
  <c r="S161" i="23" s="1"/>
  <c r="N155" i="23"/>
  <c r="N161" i="23" s="1"/>
  <c r="I155" i="23"/>
  <c r="I161" i="23" s="1"/>
  <c r="X142" i="23"/>
  <c r="X148" i="23" s="1"/>
  <c r="S142" i="23"/>
  <c r="S148" i="23" s="1"/>
  <c r="N142" i="23"/>
  <c r="N148" i="23" s="1"/>
  <c r="I142" i="23"/>
  <c r="I148" i="23" s="1"/>
  <c r="X129" i="23"/>
  <c r="X135" i="23" s="1"/>
  <c r="S129" i="23"/>
  <c r="S135" i="23" s="1"/>
  <c r="I129" i="23"/>
  <c r="I135" i="23" s="1"/>
  <c r="X116" i="23"/>
  <c r="X122" i="23" s="1"/>
  <c r="S116" i="23"/>
  <c r="S122" i="23" s="1"/>
  <c r="N116" i="23"/>
  <c r="N122" i="23" s="1"/>
  <c r="I116" i="23"/>
  <c r="I122" i="23" s="1"/>
  <c r="X103" i="23"/>
  <c r="X109" i="23" s="1"/>
  <c r="S103" i="23"/>
  <c r="S109" i="23" s="1"/>
  <c r="N103" i="23"/>
  <c r="N109" i="23" s="1"/>
  <c r="I103" i="23"/>
  <c r="I109" i="23" s="1"/>
  <c r="X90" i="23"/>
  <c r="X96" i="23" s="1"/>
  <c r="S90" i="23"/>
  <c r="S96" i="23" s="1"/>
  <c r="N90" i="23"/>
  <c r="N96" i="23" s="1"/>
  <c r="I90" i="23"/>
  <c r="I96" i="23" s="1"/>
  <c r="AK207" i="23"/>
  <c r="AK213" i="23" s="1"/>
  <c r="AU168" i="23"/>
  <c r="AU174" i="23" s="1"/>
  <c r="N129" i="23"/>
  <c r="N135" i="23" s="1"/>
  <c r="AK155" i="23"/>
  <c r="AK161" i="23" s="1"/>
  <c r="AK90" i="23"/>
  <c r="AK96" i="23" s="1"/>
  <c r="AZ155" i="23"/>
  <c r="AZ161" i="23" s="1"/>
  <c r="AZ168" i="23"/>
  <c r="AZ174" i="23" s="1"/>
  <c r="AP77" i="23"/>
  <c r="AP83" i="23" s="1"/>
  <c r="AU155" i="23"/>
  <c r="AU161" i="23" s="1"/>
  <c r="AP129" i="23"/>
  <c r="AP135" i="23" s="1"/>
  <c r="AK129" i="23"/>
  <c r="AK135" i="23" s="1"/>
  <c r="AZ77" i="23"/>
  <c r="AZ83" i="23" s="1"/>
  <c r="AZ90" i="23"/>
  <c r="AZ96" i="23" s="1"/>
  <c r="AZ116" i="23"/>
  <c r="AZ122" i="23" s="1"/>
  <c r="AU77" i="23"/>
  <c r="AU83" i="23" s="1"/>
  <c r="AZ129" i="23"/>
  <c r="AZ135" i="23" s="1"/>
  <c r="AU90" i="23"/>
  <c r="AU96" i="23" s="1"/>
  <c r="AU116" i="23"/>
  <c r="AU122" i="23" s="1"/>
  <c r="AP90" i="23"/>
  <c r="AP96" i="23" s="1"/>
  <c r="AK116" i="23"/>
  <c r="AK122" i="23" s="1"/>
  <c r="AU129" i="23"/>
  <c r="AU135" i="23" s="1"/>
  <c r="AK77" i="23"/>
  <c r="AK83" i="23" s="1"/>
  <c r="J5" i="16"/>
  <c r="L7" i="18"/>
  <c r="L5" i="16" s="1"/>
  <c r="I7" i="18"/>
  <c r="I5" i="16" s="1"/>
  <c r="M4" i="23"/>
  <c r="E4" i="23"/>
  <c r="I4" i="23"/>
  <c r="E5" i="23"/>
  <c r="K13" i="18"/>
  <c r="Q8" i="23" l="1"/>
  <c r="K14" i="18"/>
  <c r="K15" i="18"/>
  <c r="K16" i="18"/>
  <c r="K17" i="18"/>
  <c r="K18" i="18"/>
  <c r="K19" i="18"/>
  <c r="K20" i="18"/>
  <c r="K11" i="18"/>
  <c r="K9" i="18"/>
  <c r="K8" i="18"/>
  <c r="K10" i="18"/>
  <c r="K12" i="18"/>
  <c r="J6" i="18"/>
  <c r="J11" i="18"/>
  <c r="J18" i="18"/>
  <c r="H8" i="18"/>
  <c r="H9" i="18"/>
  <c r="H10" i="18"/>
  <c r="H11" i="18"/>
  <c r="H12" i="18"/>
  <c r="G6" i="18"/>
  <c r="G11" i="18"/>
  <c r="G18" i="18"/>
  <c r="L11" i="18" l="1"/>
  <c r="L9" i="16" s="1"/>
  <c r="J9" i="16"/>
  <c r="I18" i="18"/>
  <c r="I16" i="16" s="1"/>
  <c r="G16" i="16"/>
  <c r="L18" i="18"/>
  <c r="L16" i="16" s="1"/>
  <c r="J16" i="16"/>
  <c r="G9" i="16"/>
  <c r="AE246" i="23"/>
  <c r="AE222" i="23"/>
  <c r="AE234" i="23"/>
  <c r="AE143" i="23"/>
  <c r="C235" i="23"/>
  <c r="AE30" i="23"/>
  <c r="C261" i="23"/>
  <c r="AE42" i="23"/>
  <c r="AE104" i="23"/>
  <c r="AE54" i="23"/>
  <c r="C182" i="23"/>
  <c r="C222" i="23"/>
  <c r="C248" i="23"/>
  <c r="C78" i="23"/>
  <c r="C66" i="23"/>
  <c r="C30" i="23"/>
  <c r="C54" i="23"/>
  <c r="C42" i="23"/>
  <c r="I11" i="18"/>
  <c r="I9" i="16" s="1"/>
  <c r="Y49" i="4"/>
  <c r="Y48" i="4"/>
  <c r="Y47" i="4"/>
  <c r="Y46" i="4"/>
  <c r="Y45" i="4"/>
  <c r="Y44" i="4"/>
  <c r="Y43" i="4"/>
  <c r="Y42" i="4"/>
  <c r="Y41" i="4"/>
  <c r="S48" i="4"/>
  <c r="S47" i="4"/>
  <c r="S46" i="4"/>
  <c r="S45" i="4"/>
  <c r="S44" i="4"/>
  <c r="S43" i="4"/>
  <c r="S42" i="4"/>
  <c r="S41" i="4"/>
  <c r="Y25" i="4"/>
  <c r="Y24" i="4"/>
  <c r="Y23" i="4"/>
  <c r="Y22" i="4"/>
  <c r="Y21" i="4"/>
  <c r="S24" i="4"/>
  <c r="S23" i="4"/>
  <c r="S22" i="4"/>
  <c r="S21" i="4"/>
  <c r="L36" i="16" l="1"/>
  <c r="H36" i="16"/>
  <c r="J36" i="16"/>
  <c r="F36" i="16"/>
  <c r="K44" i="4"/>
  <c r="K43" i="4"/>
  <c r="K42" i="4"/>
  <c r="K41" i="4"/>
  <c r="K40" i="4"/>
  <c r="E43" i="4"/>
  <c r="E42" i="4"/>
  <c r="E41" i="4"/>
  <c r="E40" i="4"/>
  <c r="K25" i="4"/>
  <c r="K24" i="4"/>
  <c r="K23" i="4"/>
  <c r="K22" i="4"/>
  <c r="K21" i="4"/>
  <c r="E24" i="4" l="1"/>
  <c r="E23" i="4" l="1"/>
  <c r="E22" i="4" l="1"/>
  <c r="E21" i="4" l="1"/>
  <c r="J8" i="18" l="1"/>
  <c r="L8" i="18" l="1"/>
  <c r="L6" i="16" s="1"/>
  <c r="F26" i="16" s="1"/>
  <c r="J6" i="16"/>
  <c r="G8" i="18"/>
  <c r="I8" i="18" l="1"/>
  <c r="I6" i="16" s="1"/>
  <c r="G6" i="16"/>
  <c r="AE221" i="23"/>
  <c r="AE168" i="23"/>
  <c r="AE245" i="23"/>
  <c r="AE194" i="23"/>
  <c r="AE233" i="23"/>
  <c r="AE182" i="23"/>
  <c r="AE207" i="23"/>
  <c r="AE142" i="23"/>
  <c r="AE155" i="23"/>
  <c r="C207" i="23"/>
  <c r="C142" i="23"/>
  <c r="C155" i="23"/>
  <c r="C168" i="23"/>
  <c r="C129" i="23"/>
  <c r="C194" i="23"/>
  <c r="AE129" i="23"/>
  <c r="AE41" i="23"/>
  <c r="AE77" i="23"/>
  <c r="AE103" i="23"/>
  <c r="AE29" i="23"/>
  <c r="AE116" i="23"/>
  <c r="AE90" i="23"/>
  <c r="C90" i="23"/>
  <c r="AE65" i="23"/>
  <c r="AE53" i="23"/>
  <c r="C116" i="23"/>
  <c r="C103" i="23"/>
  <c r="C12" i="18"/>
  <c r="D6" i="18"/>
  <c r="E5" i="18"/>
  <c r="E3" i="16" s="1"/>
  <c r="K6" i="18" l="1"/>
  <c r="D4" i="16"/>
  <c r="C10" i="16"/>
  <c r="Y183" i="23"/>
  <c r="T183" i="23"/>
  <c r="O183" i="23"/>
  <c r="J183" i="23"/>
  <c r="Y118" i="23"/>
  <c r="T118" i="23"/>
  <c r="O118" i="23"/>
  <c r="J118" i="23"/>
  <c r="E118" i="23"/>
  <c r="E183" i="23"/>
  <c r="H5" i="18"/>
  <c r="K5" i="18"/>
  <c r="G12" i="18"/>
  <c r="J12" i="18"/>
  <c r="H6" i="18"/>
  <c r="I6" i="18" l="1"/>
  <c r="I4" i="16" s="1"/>
  <c r="H4" i="16"/>
  <c r="L12" i="18"/>
  <c r="L10" i="16" s="1"/>
  <c r="H30" i="16" s="1"/>
  <c r="J10" i="16"/>
  <c r="L6" i="18"/>
  <c r="L4" i="16" s="1"/>
  <c r="K4" i="16"/>
  <c r="I12" i="18"/>
  <c r="I10" i="16" s="1"/>
  <c r="G10" i="16"/>
  <c r="W183" i="23"/>
  <c r="R183" i="23"/>
  <c r="M183" i="23"/>
  <c r="H183" i="23"/>
  <c r="C183" i="23"/>
  <c r="W118" i="23"/>
  <c r="R118" i="23"/>
  <c r="M118" i="23"/>
  <c r="H118" i="23"/>
  <c r="C118" i="23"/>
  <c r="K3" i="16"/>
  <c r="AR221" i="23"/>
  <c r="AR227" i="23" s="1"/>
  <c r="AW245" i="23"/>
  <c r="AW251" i="23" s="1"/>
  <c r="AS19" i="23" s="1"/>
  <c r="BB221" i="23"/>
  <c r="BB227" i="23" s="1"/>
  <c r="AW21" i="23" s="1"/>
  <c r="AM221" i="23"/>
  <c r="AM227" i="23" s="1"/>
  <c r="AK21" i="23" s="1"/>
  <c r="AW233" i="23"/>
  <c r="AW239" i="23" s="1"/>
  <c r="AS20" i="23" s="1"/>
  <c r="AR245" i="23"/>
  <c r="AR251" i="23" s="1"/>
  <c r="AM245" i="23"/>
  <c r="AM251" i="23" s="1"/>
  <c r="AK19" i="23" s="1"/>
  <c r="BB245" i="23"/>
  <c r="BB251" i="23" s="1"/>
  <c r="AW19" i="23" s="1"/>
  <c r="AW221" i="23"/>
  <c r="AW227" i="23" s="1"/>
  <c r="Z260" i="23"/>
  <c r="Z266" i="23" s="1"/>
  <c r="U18" i="23" s="1"/>
  <c r="U260" i="23"/>
  <c r="U266" i="23" s="1"/>
  <c r="Q18" i="23" s="1"/>
  <c r="BB233" i="23"/>
  <c r="BB239" i="23" s="1"/>
  <c r="AW20" i="23" s="1"/>
  <c r="AM142" i="23"/>
  <c r="AM148" i="23" s="1"/>
  <c r="AK15" i="23" s="1"/>
  <c r="Z234" i="23"/>
  <c r="Z240" i="23" s="1"/>
  <c r="U16" i="23" s="1"/>
  <c r="U234" i="23"/>
  <c r="U240" i="23" s="1"/>
  <c r="Q16" i="23" s="1"/>
  <c r="Z221" i="23"/>
  <c r="Z227" i="23" s="1"/>
  <c r="U15" i="23" s="1"/>
  <c r="U221" i="23"/>
  <c r="U227" i="23" s="1"/>
  <c r="Q15" i="23" s="1"/>
  <c r="AR233" i="23"/>
  <c r="AR239" i="23" s="1"/>
  <c r="AO20" i="23" s="1"/>
  <c r="Z247" i="23"/>
  <c r="Z253" i="23" s="1"/>
  <c r="U17" i="23" s="1"/>
  <c r="U247" i="23"/>
  <c r="U253" i="23" s="1"/>
  <c r="Q17" i="23" s="1"/>
  <c r="Z181" i="23"/>
  <c r="Z187" i="23" s="1"/>
  <c r="U14" i="23" s="1"/>
  <c r="U181" i="23"/>
  <c r="U187" i="23" s="1"/>
  <c r="Q14" i="23" s="1"/>
  <c r="AR29" i="23"/>
  <c r="AR35" i="23" s="1"/>
  <c r="AO6" i="23" s="1"/>
  <c r="AM233" i="23"/>
  <c r="AM239" i="23" s="1"/>
  <c r="AK20" i="23" s="1"/>
  <c r="BB29" i="23"/>
  <c r="BB35" i="23" s="1"/>
  <c r="AW6" i="23" s="1"/>
  <c r="AW29" i="23"/>
  <c r="AW35" i="23" s="1"/>
  <c r="AS6" i="23" s="1"/>
  <c r="AR53" i="23"/>
  <c r="AR59" i="23" s="1"/>
  <c r="AO4" i="23" s="1"/>
  <c r="AR41" i="23"/>
  <c r="AR47" i="23" s="1"/>
  <c r="AO5" i="23" s="1"/>
  <c r="BB53" i="23"/>
  <c r="BB59" i="23" s="1"/>
  <c r="AW4" i="23" s="1"/>
  <c r="BB142" i="23"/>
  <c r="BB148" i="23" s="1"/>
  <c r="AW15" i="23" s="1"/>
  <c r="AW142" i="23"/>
  <c r="AW148" i="23" s="1"/>
  <c r="AS15" i="23" s="1"/>
  <c r="AW103" i="23"/>
  <c r="AW109" i="23" s="1"/>
  <c r="AS12" i="23" s="1"/>
  <c r="AW53" i="23"/>
  <c r="AW59" i="23" s="1"/>
  <c r="AS4" i="23" s="1"/>
  <c r="U77" i="23"/>
  <c r="U83" i="23" s="1"/>
  <c r="Q7" i="23" s="1"/>
  <c r="AM29" i="23"/>
  <c r="AM35" i="23" s="1"/>
  <c r="AK6" i="23" s="1"/>
  <c r="AR142" i="23"/>
  <c r="AR148" i="23" s="1"/>
  <c r="AO15" i="23" s="1"/>
  <c r="AM53" i="23"/>
  <c r="AM59" i="23" s="1"/>
  <c r="AK4" i="23" s="1"/>
  <c r="Z77" i="23"/>
  <c r="Z83" i="23" s="1"/>
  <c r="U7" i="23" s="1"/>
  <c r="BB103" i="23"/>
  <c r="BB109" i="23" s="1"/>
  <c r="AW12" i="23" s="1"/>
  <c r="AW41" i="23"/>
  <c r="AW47" i="23" s="1"/>
  <c r="AS5" i="23" s="1"/>
  <c r="AM41" i="23"/>
  <c r="AM47" i="23" s="1"/>
  <c r="Z65" i="23"/>
  <c r="Z71" i="23" s="1"/>
  <c r="U6" i="23" s="1"/>
  <c r="U65" i="23"/>
  <c r="U71" i="23" s="1"/>
  <c r="Q6" i="23" s="1"/>
  <c r="AM103" i="23"/>
  <c r="AM109" i="23" s="1"/>
  <c r="AK12" i="23" s="1"/>
  <c r="AR103" i="23"/>
  <c r="AR109" i="23" s="1"/>
  <c r="AO12" i="23" s="1"/>
  <c r="BB41" i="23"/>
  <c r="BB47" i="23" s="1"/>
  <c r="AW5" i="23" s="1"/>
  <c r="Z53" i="23"/>
  <c r="Z59" i="23" s="1"/>
  <c r="U5" i="23" s="1"/>
  <c r="U53" i="23"/>
  <c r="U59" i="23" s="1"/>
  <c r="Q5" i="23" s="1"/>
  <c r="Z41" i="23"/>
  <c r="Z47" i="23" s="1"/>
  <c r="U41" i="23"/>
  <c r="U47" i="23" s="1"/>
  <c r="Z29" i="23"/>
  <c r="Z35" i="23" s="1"/>
  <c r="U29" i="23"/>
  <c r="U35" i="23" s="1"/>
  <c r="Q4" i="23" s="1"/>
  <c r="H3" i="16"/>
  <c r="AK245" i="23"/>
  <c r="AK251" i="23" s="1"/>
  <c r="AZ221" i="23"/>
  <c r="AZ227" i="23" s="1"/>
  <c r="AZ245" i="23"/>
  <c r="AZ251" i="23" s="1"/>
  <c r="AK221" i="23"/>
  <c r="AK227" i="23" s="1"/>
  <c r="AU245" i="23"/>
  <c r="AU251" i="23" s="1"/>
  <c r="AU221" i="23"/>
  <c r="AU227" i="23" s="1"/>
  <c r="AP221" i="23"/>
  <c r="AP227" i="23" s="1"/>
  <c r="AU233" i="23"/>
  <c r="AU239" i="23" s="1"/>
  <c r="AP245" i="23"/>
  <c r="AP251" i="23" s="1"/>
  <c r="X234" i="23"/>
  <c r="X240" i="23" s="1"/>
  <c r="S234" i="23"/>
  <c r="S240" i="23" s="1"/>
  <c r="X221" i="23"/>
  <c r="X227" i="23" s="1"/>
  <c r="S221" i="23"/>
  <c r="S227" i="23" s="1"/>
  <c r="AP233" i="23"/>
  <c r="AP239" i="23" s="1"/>
  <c r="AZ233" i="23"/>
  <c r="AZ239" i="23" s="1"/>
  <c r="AK233" i="23"/>
  <c r="AK239" i="23" s="1"/>
  <c r="AK53" i="23"/>
  <c r="AK59" i="23" s="1"/>
  <c r="X260" i="23"/>
  <c r="X266" i="23" s="1"/>
  <c r="S260" i="23"/>
  <c r="S266" i="23" s="1"/>
  <c r="AK142" i="23"/>
  <c r="AK148" i="23" s="1"/>
  <c r="X247" i="23"/>
  <c r="X253" i="23" s="1"/>
  <c r="X181" i="23"/>
  <c r="X187" i="23" s="1"/>
  <c r="S247" i="23"/>
  <c r="S253" i="23" s="1"/>
  <c r="S181" i="23"/>
  <c r="S187" i="23" s="1"/>
  <c r="AU142" i="23"/>
  <c r="AU148" i="23" s="1"/>
  <c r="AP53" i="23"/>
  <c r="AP59" i="23" s="1"/>
  <c r="AZ103" i="23"/>
  <c r="AZ109" i="23" s="1"/>
  <c r="AP29" i="23"/>
  <c r="AP35" i="23" s="1"/>
  <c r="AU29" i="23"/>
  <c r="AU35" i="23" s="1"/>
  <c r="AU103" i="23"/>
  <c r="AU109" i="23" s="1"/>
  <c r="AK29" i="23"/>
  <c r="AK35" i="23" s="1"/>
  <c r="AP142" i="23"/>
  <c r="AP148" i="23" s="1"/>
  <c r="AZ29" i="23"/>
  <c r="AZ35" i="23" s="1"/>
  <c r="AU53" i="23"/>
  <c r="AU59" i="23" s="1"/>
  <c r="AZ142" i="23"/>
  <c r="AZ148" i="23" s="1"/>
  <c r="AP41" i="23"/>
  <c r="AP47" i="23" s="1"/>
  <c r="X77" i="23"/>
  <c r="X83" i="23" s="1"/>
  <c r="S77" i="23"/>
  <c r="S83" i="23" s="1"/>
  <c r="AZ53" i="23"/>
  <c r="AZ59" i="23" s="1"/>
  <c r="AK41" i="23"/>
  <c r="AK47" i="23" s="1"/>
  <c r="AU41" i="23"/>
  <c r="AU47" i="23" s="1"/>
  <c r="AK103" i="23"/>
  <c r="AK109" i="23" s="1"/>
  <c r="AZ41" i="23"/>
  <c r="AZ47" i="23" s="1"/>
  <c r="X65" i="23"/>
  <c r="X71" i="23" s="1"/>
  <c r="S65" i="23"/>
  <c r="S71" i="23" s="1"/>
  <c r="AP103" i="23"/>
  <c r="AP109" i="23" s="1"/>
  <c r="X53" i="23"/>
  <c r="X59" i="23" s="1"/>
  <c r="S53" i="23"/>
  <c r="S59" i="23" s="1"/>
  <c r="X41" i="23"/>
  <c r="X47" i="23" s="1"/>
  <c r="S41" i="23"/>
  <c r="S47" i="23" s="1"/>
  <c r="X29" i="23"/>
  <c r="X35" i="23" s="1"/>
  <c r="S29" i="23"/>
  <c r="S35" i="23" s="1"/>
  <c r="V4" i="9"/>
  <c r="U4" i="23" l="1"/>
  <c r="AO19" i="23"/>
  <c r="AK5" i="23"/>
  <c r="AS21" i="23"/>
  <c r="AO21" i="23"/>
  <c r="D28" i="17"/>
  <c r="C28" i="17"/>
  <c r="D24" i="17"/>
  <c r="C24" i="17"/>
  <c r="D23" i="17"/>
  <c r="C23" i="17"/>
  <c r="D22" i="17"/>
  <c r="G4" i="28" s="1"/>
  <c r="C22" i="17"/>
  <c r="D21" i="17"/>
  <c r="F4" i="28" s="1"/>
  <c r="C21" i="17"/>
  <c r="D20" i="17"/>
  <c r="C20" i="17"/>
  <c r="I50" i="16" l="1"/>
  <c r="W26" i="5"/>
  <c r="C33" i="16" l="1"/>
  <c r="L30" i="16"/>
  <c r="C29" i="16"/>
  <c r="F30" i="16"/>
  <c r="J30" i="16" l="1"/>
  <c r="W53" i="11" l="1"/>
  <c r="X24" i="11"/>
  <c r="M7" i="1" l="1"/>
  <c r="C45" i="1" l="1"/>
  <c r="K45" i="1" s="1"/>
  <c r="F45" i="1" l="1"/>
  <c r="H45" i="1" s="1"/>
  <c r="C46" i="1" l="1"/>
  <c r="C20" i="18" l="1"/>
  <c r="C21" i="16" s="1"/>
  <c r="F46" i="1"/>
  <c r="H46" i="1" s="1"/>
  <c r="K46" i="1"/>
  <c r="V54" i="13"/>
  <c r="W26" i="13"/>
  <c r="G20" i="18" l="1"/>
  <c r="J20" i="18"/>
  <c r="C19" i="18"/>
  <c r="C17" i="16" s="1"/>
  <c r="K44" i="1"/>
  <c r="F44" i="1"/>
  <c r="H44" i="1" s="1"/>
  <c r="E34" i="13"/>
  <c r="I20" i="18" l="1"/>
  <c r="I21" i="16" s="1"/>
  <c r="G21" i="16"/>
  <c r="L20" i="18"/>
  <c r="L21" i="16" s="1"/>
  <c r="J21" i="16"/>
  <c r="G19" i="18"/>
  <c r="J19" i="18"/>
  <c r="G49" i="13"/>
  <c r="L34" i="13"/>
  <c r="I44" i="13"/>
  <c r="I34" i="13"/>
  <c r="L44" i="13"/>
  <c r="N39" i="13"/>
  <c r="O52" i="13" s="1"/>
  <c r="L19" i="18" l="1"/>
  <c r="L17" i="16" s="1"/>
  <c r="J17" i="16"/>
  <c r="I19" i="18"/>
  <c r="I17" i="16" s="1"/>
  <c r="G17" i="16"/>
  <c r="P44" i="13"/>
  <c r="P39" i="13"/>
  <c r="G39" i="13"/>
  <c r="H52" i="13" s="1"/>
  <c r="H53" i="13" s="1"/>
  <c r="H54" i="13" s="1"/>
  <c r="E39" i="13"/>
  <c r="O53" i="13"/>
  <c r="O54" i="13"/>
  <c r="M52" i="13"/>
  <c r="N49" i="13" l="1"/>
  <c r="G34" i="13"/>
  <c r="N44" i="13"/>
  <c r="E52" i="13"/>
  <c r="E49" i="13"/>
  <c r="P34" i="13"/>
  <c r="P49" i="13"/>
  <c r="N34" i="13"/>
  <c r="M54" i="13"/>
  <c r="M53" i="13"/>
  <c r="Q52" i="13"/>
  <c r="N52" i="13" l="1"/>
  <c r="N54" i="13" s="1"/>
  <c r="P52" i="13"/>
  <c r="P53" i="13" s="1"/>
  <c r="E53" i="13"/>
  <c r="E54" i="13"/>
  <c r="Q54" i="13"/>
  <c r="Q53" i="13"/>
  <c r="G44" i="13"/>
  <c r="G52" i="13" s="1"/>
  <c r="E44" i="13"/>
  <c r="F52" i="13" s="1"/>
  <c r="L39" i="13"/>
  <c r="I39" i="13"/>
  <c r="I52" i="13" s="1"/>
  <c r="P23" i="13"/>
  <c r="N53" i="13" l="1"/>
  <c r="I23" i="13"/>
  <c r="E8" i="13"/>
  <c r="L23" i="13"/>
  <c r="P54" i="13"/>
  <c r="G54" i="13"/>
  <c r="G53" i="13"/>
  <c r="E23" i="13"/>
  <c r="R22" i="13" s="1"/>
  <c r="G18" i="13"/>
  <c r="P8" i="13"/>
  <c r="E18" i="13"/>
  <c r="L13" i="13"/>
  <c r="I13" i="13"/>
  <c r="F53" i="13"/>
  <c r="F54" i="13"/>
  <c r="G23" i="13"/>
  <c r="L18" i="13"/>
  <c r="I54" i="13"/>
  <c r="I53" i="13"/>
  <c r="N13" i="13"/>
  <c r="E13" i="13"/>
  <c r="L8" i="13"/>
  <c r="I8" i="13"/>
  <c r="P18" i="13"/>
  <c r="I18" i="13"/>
  <c r="P13" i="13"/>
  <c r="G13" i="13"/>
  <c r="N8" i="13"/>
  <c r="G8" i="13"/>
  <c r="N23" i="13"/>
  <c r="N18" i="13"/>
  <c r="R19" i="13" s="1"/>
  <c r="I45" i="4"/>
  <c r="K45" i="4"/>
  <c r="E44" i="4"/>
  <c r="C44" i="4"/>
  <c r="B33" i="4"/>
  <c r="B35" i="4" s="1"/>
  <c r="R17" i="13" l="1"/>
  <c r="S17" i="13" s="1"/>
  <c r="R18" i="13"/>
  <c r="T18" i="13" s="1"/>
  <c r="R12" i="13"/>
  <c r="S12" i="13" s="1"/>
  <c r="R13" i="13"/>
  <c r="T13" i="13" s="1"/>
  <c r="K5" i="4"/>
  <c r="K6" i="29" s="1"/>
  <c r="K6" i="4"/>
  <c r="K7" i="29" s="1"/>
  <c r="R8" i="13"/>
  <c r="J6" i="4"/>
  <c r="D7" i="29" s="1"/>
  <c r="J5" i="4"/>
  <c r="D6" i="29" s="1"/>
  <c r="S18" i="13"/>
  <c r="T17" i="13"/>
  <c r="T22" i="13"/>
  <c r="S22" i="13"/>
  <c r="T19" i="13"/>
  <c r="S19" i="13"/>
  <c r="R23" i="13"/>
  <c r="I26" i="1"/>
  <c r="J36" i="3"/>
  <c r="J38" i="3" s="1"/>
  <c r="L40" i="3" s="1"/>
  <c r="L41" i="3" s="1"/>
  <c r="F36" i="3"/>
  <c r="T12" i="13" l="1"/>
  <c r="S13" i="13"/>
  <c r="T8" i="13"/>
  <c r="S8" i="13"/>
  <c r="T23" i="13"/>
  <c r="S23" i="13"/>
  <c r="J13" i="4"/>
  <c r="K13" i="4"/>
  <c r="F38" i="3"/>
  <c r="H40" i="3" s="1"/>
  <c r="H41" i="3" s="1"/>
  <c r="J42" i="1" l="1"/>
  <c r="J43" i="1"/>
  <c r="K43" i="1" s="1"/>
  <c r="G42" i="1"/>
  <c r="G43" i="1"/>
  <c r="F43" i="1"/>
  <c r="J36" i="1"/>
  <c r="G36" i="1"/>
  <c r="J26" i="1"/>
  <c r="M9" i="1" l="1"/>
  <c r="H43" i="1"/>
  <c r="C19" i="1"/>
  <c r="V5" i="9"/>
  <c r="V6" i="9"/>
  <c r="V7" i="9"/>
  <c r="V8" i="9"/>
  <c r="V9" i="9"/>
  <c r="V3" i="9"/>
  <c r="T9" i="9"/>
  <c r="K8" i="9" l="1"/>
  <c r="J8" i="9"/>
  <c r="K7" i="9"/>
  <c r="J7" i="9"/>
  <c r="K6" i="9"/>
  <c r="J6" i="9"/>
  <c r="K5" i="9"/>
  <c r="J5" i="9"/>
  <c r="K4" i="9"/>
  <c r="J4" i="9"/>
  <c r="K3" i="9"/>
  <c r="J3" i="9"/>
  <c r="P31" i="10"/>
  <c r="N31" i="10"/>
  <c r="L31" i="10"/>
  <c r="I31" i="10"/>
  <c r="G31" i="10"/>
  <c r="E31" i="10"/>
  <c r="P30" i="10"/>
  <c r="V53" i="10" s="1"/>
  <c r="N30" i="10"/>
  <c r="L30" i="10"/>
  <c r="I30" i="10"/>
  <c r="G30" i="10"/>
  <c r="E30" i="10"/>
  <c r="C24" i="10"/>
  <c r="C23" i="10"/>
  <c r="C22" i="10"/>
  <c r="C19" i="10"/>
  <c r="C18" i="10"/>
  <c r="C17" i="10"/>
  <c r="C13" i="10"/>
  <c r="C12" i="10"/>
  <c r="C8" i="10"/>
  <c r="W26" i="10" s="1"/>
  <c r="P5" i="10"/>
  <c r="N5" i="10"/>
  <c r="L5" i="10"/>
  <c r="I5" i="10"/>
  <c r="G5" i="10"/>
  <c r="E5" i="10"/>
  <c r="V54" i="5"/>
  <c r="W50" i="4"/>
  <c r="Q49" i="4"/>
  <c r="H18" i="11"/>
  <c r="H38" i="11"/>
  <c r="O18" i="11"/>
  <c r="S19" i="11" s="1"/>
  <c r="Q38" i="11"/>
  <c r="O43" i="11"/>
  <c r="H43" i="11"/>
  <c r="M18" i="11"/>
  <c r="P33" i="4"/>
  <c r="P35" i="4" s="1"/>
  <c r="W26" i="4"/>
  <c r="I26" i="4"/>
  <c r="Q25" i="4"/>
  <c r="C25" i="4"/>
  <c r="E33" i="10"/>
  <c r="E18" i="10"/>
  <c r="I13" i="5"/>
  <c r="G8" i="5"/>
  <c r="G43" i="10"/>
  <c r="G23" i="10"/>
  <c r="P44" i="5"/>
  <c r="G23" i="5"/>
  <c r="P14" i="4"/>
  <c r="P16" i="4" s="1"/>
  <c r="B14" i="4"/>
  <c r="B16" i="4" s="1"/>
  <c r="B38" i="3"/>
  <c r="D40" i="3" s="1"/>
  <c r="D41" i="3" s="1"/>
  <c r="B6" i="3"/>
  <c r="D30" i="2"/>
  <c r="M57" i="16" s="1"/>
  <c r="D22" i="28" s="1"/>
  <c r="D29" i="2"/>
  <c r="M56" i="16" s="1"/>
  <c r="D21" i="28" s="1"/>
  <c r="D28" i="2"/>
  <c r="M55" i="16" s="1"/>
  <c r="D20" i="28" s="1"/>
  <c r="M54" i="16"/>
  <c r="D19" i="28" s="1"/>
  <c r="D26" i="2"/>
  <c r="E13" i="2"/>
  <c r="C12" i="2"/>
  <c r="E12" i="2" s="1"/>
  <c r="F12" i="2" s="1"/>
  <c r="C11" i="2"/>
  <c r="E11" i="2" s="1"/>
  <c r="C29" i="2" s="1"/>
  <c r="C10" i="2"/>
  <c r="P31" i="1"/>
  <c r="M26" i="1"/>
  <c r="Q25" i="1"/>
  <c r="Q26" i="1" s="1"/>
  <c r="C25" i="1"/>
  <c r="F24" i="1"/>
  <c r="F26" i="1" s="1"/>
  <c r="F19" i="1"/>
  <c r="F21" i="1" s="1"/>
  <c r="W25" i="1"/>
  <c r="W24" i="1"/>
  <c r="AB23" i="1"/>
  <c r="W23" i="1"/>
  <c r="AB22" i="1"/>
  <c r="W22" i="1"/>
  <c r="T14" i="1"/>
  <c r="F14" i="1"/>
  <c r="T10" i="1"/>
  <c r="F10" i="1"/>
  <c r="W9" i="1"/>
  <c r="W21" i="1" s="1"/>
  <c r="C9" i="1"/>
  <c r="AD7" i="1"/>
  <c r="AB7" i="1"/>
  <c r="AB21" i="1" s="1"/>
  <c r="Y7" i="1"/>
  <c r="I7" i="1"/>
  <c r="I9" i="1" s="1"/>
  <c r="T6" i="1"/>
  <c r="F6" i="1"/>
  <c r="Q5" i="1"/>
  <c r="D5" i="1"/>
  <c r="B14" i="29" l="1"/>
  <c r="I14" i="29"/>
  <c r="E29" i="2"/>
  <c r="M53" i="16"/>
  <c r="D18" i="28" s="1"/>
  <c r="F10" i="2"/>
  <c r="C26" i="2"/>
  <c r="F11" i="2"/>
  <c r="C26" i="1"/>
  <c r="C27" i="2"/>
  <c r="C30" i="2"/>
  <c r="C47" i="1"/>
  <c r="P13" i="10"/>
  <c r="I23" i="10"/>
  <c r="L23" i="10"/>
  <c r="E8" i="10"/>
  <c r="P13" i="5"/>
  <c r="P18" i="5"/>
  <c r="E13" i="5"/>
  <c r="E8" i="5"/>
  <c r="L23" i="5"/>
  <c r="I23" i="5"/>
  <c r="J8" i="11"/>
  <c r="F8" i="11"/>
  <c r="M23" i="11"/>
  <c r="J23" i="11"/>
  <c r="F33" i="11"/>
  <c r="J33" i="11"/>
  <c r="G18" i="5"/>
  <c r="R24" i="13"/>
  <c r="L49" i="5"/>
  <c r="L49" i="13"/>
  <c r="L52" i="13" s="1"/>
  <c r="I49" i="13"/>
  <c r="J52" i="13" s="1"/>
  <c r="T15" i="1"/>
  <c r="C48" i="1" s="1"/>
  <c r="J27" i="1"/>
  <c r="J29" i="1" s="1"/>
  <c r="M27" i="1"/>
  <c r="M28" i="1" s="1"/>
  <c r="M29" i="1" s="1"/>
  <c r="C41" i="1" s="1"/>
  <c r="Y50" i="4"/>
  <c r="K7" i="4" s="1"/>
  <c r="K8" i="29" s="1"/>
  <c r="G13" i="5"/>
  <c r="S25" i="4"/>
  <c r="J2" i="4" s="1"/>
  <c r="D3" i="29" s="1"/>
  <c r="I49" i="5"/>
  <c r="E25" i="4"/>
  <c r="J3" i="4" s="1"/>
  <c r="D4" i="29" s="1"/>
  <c r="O48" i="11"/>
  <c r="P8" i="5"/>
  <c r="P23" i="5"/>
  <c r="F13" i="2"/>
  <c r="F15" i="1"/>
  <c r="C36" i="1" s="1"/>
  <c r="F27" i="1"/>
  <c r="I27" i="1"/>
  <c r="I28" i="1" s="1"/>
  <c r="E44" i="5"/>
  <c r="I39" i="5"/>
  <c r="L39" i="5"/>
  <c r="K26" i="4"/>
  <c r="K3" i="4" s="1"/>
  <c r="K4" i="29" s="1"/>
  <c r="G44" i="5"/>
  <c r="P49" i="5"/>
  <c r="N44" i="5"/>
  <c r="P34" i="5"/>
  <c r="N49" i="5"/>
  <c r="E49" i="5"/>
  <c r="N34" i="5"/>
  <c r="G34" i="5"/>
  <c r="E34" i="5"/>
  <c r="P39" i="5"/>
  <c r="G39" i="5"/>
  <c r="E39" i="5"/>
  <c r="L38" i="10"/>
  <c r="G49" i="5"/>
  <c r="L44" i="5"/>
  <c r="I34" i="5"/>
  <c r="I44" i="5"/>
  <c r="N39" i="5"/>
  <c r="O52" i="5" s="1"/>
  <c r="L34" i="5"/>
  <c r="M52" i="5" s="1"/>
  <c r="L48" i="10"/>
  <c r="Y26" i="4"/>
  <c r="K2" i="4" s="1"/>
  <c r="K3" i="29" s="1"/>
  <c r="I48" i="10"/>
  <c r="M33" i="11"/>
  <c r="H48" i="11"/>
  <c r="I51" i="11" s="1"/>
  <c r="I52" i="11" s="1"/>
  <c r="I53" i="11" s="1"/>
  <c r="M48" i="11"/>
  <c r="J48" i="11"/>
  <c r="G17" i="2"/>
  <c r="F38" i="11"/>
  <c r="Q43" i="11"/>
  <c r="R51" i="11" s="1"/>
  <c r="J43" i="11"/>
  <c r="O38" i="11"/>
  <c r="P51" i="11" s="1"/>
  <c r="M43" i="11"/>
  <c r="O23" i="11"/>
  <c r="H8" i="11"/>
  <c r="O8" i="11"/>
  <c r="C31" i="2"/>
  <c r="L18" i="5"/>
  <c r="N13" i="5"/>
  <c r="L8" i="5"/>
  <c r="N23" i="5"/>
  <c r="N18" i="5"/>
  <c r="R19" i="5" s="1"/>
  <c r="N8" i="5"/>
  <c r="E23" i="5"/>
  <c r="R22" i="5" s="1"/>
  <c r="E18" i="5"/>
  <c r="L13" i="5"/>
  <c r="F23" i="11"/>
  <c r="S22" i="11" s="1"/>
  <c r="Q8" i="11"/>
  <c r="F18" i="11"/>
  <c r="S17" i="11" s="1"/>
  <c r="M13" i="11"/>
  <c r="Q23" i="11"/>
  <c r="J13" i="11"/>
  <c r="I8" i="5"/>
  <c r="I18" i="5"/>
  <c r="U19" i="11"/>
  <c r="T19" i="11"/>
  <c r="C28" i="2"/>
  <c r="L18" i="10"/>
  <c r="N13" i="10"/>
  <c r="E13" i="10"/>
  <c r="I8" i="10"/>
  <c r="I18" i="10"/>
  <c r="P18" i="10"/>
  <c r="N23" i="10"/>
  <c r="G8" i="10"/>
  <c r="N8" i="10"/>
  <c r="E23" i="10"/>
  <c r="R22" i="10" s="1"/>
  <c r="L13" i="10"/>
  <c r="P8" i="10"/>
  <c r="G18" i="10"/>
  <c r="R17" i="10" s="1"/>
  <c r="I13" i="10"/>
  <c r="Q18" i="11"/>
  <c r="Q13" i="11"/>
  <c r="F13" i="11"/>
  <c r="M8" i="11"/>
  <c r="H13" i="11"/>
  <c r="O13" i="11"/>
  <c r="L8" i="10"/>
  <c r="N18" i="10"/>
  <c r="R19" i="10" s="1"/>
  <c r="P23" i="10"/>
  <c r="J18" i="11"/>
  <c r="H23" i="11"/>
  <c r="E43" i="10"/>
  <c r="I38" i="10"/>
  <c r="P48" i="10"/>
  <c r="N43" i="10"/>
  <c r="P33" i="10"/>
  <c r="G33" i="10"/>
  <c r="G51" i="10" s="1"/>
  <c r="N48" i="10"/>
  <c r="E48" i="10"/>
  <c r="N33" i="10"/>
  <c r="P38" i="10"/>
  <c r="G38" i="10"/>
  <c r="E38" i="10"/>
  <c r="G48" i="10"/>
  <c r="L43" i="10"/>
  <c r="I43" i="10"/>
  <c r="N38" i="10"/>
  <c r="O51" i="10" s="1"/>
  <c r="L33" i="10"/>
  <c r="M38" i="11"/>
  <c r="F43" i="11"/>
  <c r="J38" i="11"/>
  <c r="Q48" i="11"/>
  <c r="Q33" i="11"/>
  <c r="H33" i="11"/>
  <c r="H51" i="11" s="1"/>
  <c r="S49" i="4"/>
  <c r="J7" i="4" s="1"/>
  <c r="D8" i="29" s="1"/>
  <c r="G13" i="10"/>
  <c r="I33" i="10"/>
  <c r="P43" i="10"/>
  <c r="O33" i="11"/>
  <c r="F48" i="11"/>
  <c r="B12" i="29" l="1"/>
  <c r="I12" i="29"/>
  <c r="B13" i="29"/>
  <c r="I13" i="29"/>
  <c r="E27" i="2"/>
  <c r="I16" i="29"/>
  <c r="B16" i="29"/>
  <c r="I15" i="29"/>
  <c r="B15" i="29"/>
  <c r="E26" i="2"/>
  <c r="B11" i="29"/>
  <c r="I11" i="29"/>
  <c r="C32" i="2"/>
  <c r="E30" i="2"/>
  <c r="F14" i="2"/>
  <c r="J14" i="4"/>
  <c r="K11" i="4"/>
  <c r="J11" i="4"/>
  <c r="D50" i="16"/>
  <c r="D49" i="16"/>
  <c r="C42" i="1"/>
  <c r="K48" i="1"/>
  <c r="F48" i="1"/>
  <c r="H48" i="1" s="1"/>
  <c r="I29" i="1"/>
  <c r="C39" i="1" s="1"/>
  <c r="F39" i="1" s="1"/>
  <c r="C13" i="18"/>
  <c r="C16" i="18"/>
  <c r="C9" i="18"/>
  <c r="C7" i="16" s="1"/>
  <c r="F47" i="1"/>
  <c r="H47" i="1" s="1"/>
  <c r="K47" i="1"/>
  <c r="C5" i="18"/>
  <c r="N8" i="1"/>
  <c r="J8" i="1"/>
  <c r="C15" i="18"/>
  <c r="F51" i="11"/>
  <c r="F53" i="11" s="1"/>
  <c r="R17" i="5"/>
  <c r="T17" i="5" s="1"/>
  <c r="K51" i="11"/>
  <c r="K53" i="11" s="1"/>
  <c r="N10" i="1"/>
  <c r="L52" i="5"/>
  <c r="L53" i="5" s="1"/>
  <c r="L54" i="13"/>
  <c r="L53" i="13"/>
  <c r="S52" i="13"/>
  <c r="K14" i="4"/>
  <c r="T24" i="13"/>
  <c r="T26" i="13" s="1"/>
  <c r="S24" i="13"/>
  <c r="S26" i="13" s="1"/>
  <c r="R26" i="13"/>
  <c r="J54" i="13"/>
  <c r="J53" i="13"/>
  <c r="R18" i="5"/>
  <c r="S18" i="5" s="1"/>
  <c r="O51" i="11"/>
  <c r="O53" i="11" s="1"/>
  <c r="N51" i="10"/>
  <c r="N52" i="10" s="1"/>
  <c r="F51" i="10"/>
  <c r="F52" i="10" s="1"/>
  <c r="J51" i="10"/>
  <c r="J52" i="10" s="1"/>
  <c r="J52" i="5"/>
  <c r="J54" i="5" s="1"/>
  <c r="J4" i="4"/>
  <c r="D5" i="29" s="1"/>
  <c r="R18" i="10"/>
  <c r="S18" i="10" s="1"/>
  <c r="R23" i="10"/>
  <c r="S23" i="10" s="1"/>
  <c r="R24" i="5"/>
  <c r="S24" i="5" s="1"/>
  <c r="I51" i="10"/>
  <c r="I52" i="10" s="1"/>
  <c r="Q51" i="11"/>
  <c r="Q52" i="11" s="1"/>
  <c r="S18" i="11"/>
  <c r="U18" i="11" s="1"/>
  <c r="R24" i="10"/>
  <c r="T24" i="10" s="1"/>
  <c r="C37" i="1"/>
  <c r="F37" i="1" s="1"/>
  <c r="H37" i="1" s="1"/>
  <c r="F41" i="1"/>
  <c r="K41" i="1"/>
  <c r="Y24" i="1" s="1"/>
  <c r="K39" i="1"/>
  <c r="K40" i="1"/>
  <c r="F40" i="1"/>
  <c r="H40" i="1" s="1"/>
  <c r="K36" i="1"/>
  <c r="F36" i="1"/>
  <c r="K37" i="1"/>
  <c r="F42" i="1"/>
  <c r="H42" i="1" s="1"/>
  <c r="I52" i="5"/>
  <c r="I53" i="5" s="1"/>
  <c r="M51" i="11"/>
  <c r="M52" i="11" s="1"/>
  <c r="R8" i="10"/>
  <c r="S8" i="10" s="1"/>
  <c r="R13" i="5"/>
  <c r="T13" i="5" s="1"/>
  <c r="G52" i="5"/>
  <c r="G54" i="5" s="1"/>
  <c r="P52" i="5"/>
  <c r="P54" i="5" s="1"/>
  <c r="R23" i="5"/>
  <c r="S23" i="5" s="1"/>
  <c r="N52" i="5"/>
  <c r="N53" i="5" s="1"/>
  <c r="L51" i="10"/>
  <c r="L53" i="10" s="1"/>
  <c r="G51" i="11"/>
  <c r="G53" i="11" s="1"/>
  <c r="H51" i="10"/>
  <c r="H52" i="10" s="1"/>
  <c r="H53" i="10" s="1"/>
  <c r="S23" i="11"/>
  <c r="U23" i="11" s="1"/>
  <c r="T17" i="10"/>
  <c r="S17" i="10"/>
  <c r="R52" i="11"/>
  <c r="R53" i="11"/>
  <c r="H52" i="11"/>
  <c r="H53" i="11"/>
  <c r="Q51" i="10"/>
  <c r="M51" i="10"/>
  <c r="E51" i="10"/>
  <c r="G53" i="10"/>
  <c r="G52" i="10"/>
  <c r="R14" i="10"/>
  <c r="T22" i="10"/>
  <c r="S22" i="10"/>
  <c r="E28" i="2"/>
  <c r="S13" i="11"/>
  <c r="U17" i="11"/>
  <c r="T17" i="11"/>
  <c r="R12" i="5"/>
  <c r="E31" i="2"/>
  <c r="N51" i="11"/>
  <c r="E52" i="5"/>
  <c r="F52" i="5"/>
  <c r="O52" i="10"/>
  <c r="O53" i="10"/>
  <c r="P51" i="10"/>
  <c r="S19" i="10"/>
  <c r="T19" i="10"/>
  <c r="J51" i="11"/>
  <c r="R8" i="5"/>
  <c r="S8" i="5" s="1"/>
  <c r="T19" i="5"/>
  <c r="S19" i="5"/>
  <c r="P53" i="11"/>
  <c r="P52" i="11"/>
  <c r="M54" i="5"/>
  <c r="M53" i="5"/>
  <c r="K4" i="4"/>
  <c r="K5" i="29" s="1"/>
  <c r="S12" i="11"/>
  <c r="R9" i="10"/>
  <c r="S24" i="11"/>
  <c r="O53" i="5"/>
  <c r="O54" i="5"/>
  <c r="H52" i="5"/>
  <c r="H53" i="5" s="1"/>
  <c r="H54" i="5" s="1"/>
  <c r="R13" i="10"/>
  <c r="S8" i="11"/>
  <c r="U22" i="11"/>
  <c r="T22" i="11"/>
  <c r="T22" i="5"/>
  <c r="S22" i="5"/>
  <c r="Q52" i="5"/>
  <c r="BA248" i="23" l="1"/>
  <c r="BA224" i="23"/>
  <c r="AQ236" i="23"/>
  <c r="BA185" i="23"/>
  <c r="BA188" i="23" s="1"/>
  <c r="AQ158" i="23"/>
  <c r="AQ161" i="23" s="1"/>
  <c r="BA32" i="23"/>
  <c r="T263" i="23"/>
  <c r="AQ119" i="23"/>
  <c r="AQ122" i="23" s="1"/>
  <c r="BA44" i="23"/>
  <c r="AQ68" i="23"/>
  <c r="AQ71" i="23" s="1"/>
  <c r="BA106" i="23"/>
  <c r="AV56" i="23"/>
  <c r="O250" i="23"/>
  <c r="T237" i="23"/>
  <c r="O224" i="23"/>
  <c r="Y132" i="23"/>
  <c r="Y135" i="23" s="1"/>
  <c r="AQ106" i="23"/>
  <c r="Y145" i="23"/>
  <c r="Y148" i="23" s="1"/>
  <c r="Y149" i="23" s="1"/>
  <c r="T119" i="23"/>
  <c r="T122" i="23" s="1"/>
  <c r="O80" i="23"/>
  <c r="Y68" i="23"/>
  <c r="T32" i="23"/>
  <c r="Y32" i="23"/>
  <c r="T145" i="23"/>
  <c r="T148" i="23" s="1"/>
  <c r="T149" i="23" s="1"/>
  <c r="Y93" i="23"/>
  <c r="Y96" i="23" s="1"/>
  <c r="O32" i="23"/>
  <c r="AV158" i="23"/>
  <c r="AV161" i="23" s="1"/>
  <c r="AV119" i="23"/>
  <c r="AV122" i="23" s="1"/>
  <c r="O184" i="23"/>
  <c r="Y237" i="23"/>
  <c r="O158" i="23"/>
  <c r="O161" i="23" s="1"/>
  <c r="O93" i="23"/>
  <c r="O96" i="23" s="1"/>
  <c r="J13" i="18"/>
  <c r="AV248" i="23"/>
  <c r="AQ224" i="23"/>
  <c r="BA210" i="23"/>
  <c r="BA213" i="23" s="1"/>
  <c r="AQ185" i="23"/>
  <c r="AQ188" i="23" s="1"/>
  <c r="AV145" i="23"/>
  <c r="AV32" i="23"/>
  <c r="O263" i="23"/>
  <c r="BA93" i="23"/>
  <c r="BA96" i="23" s="1"/>
  <c r="AV44" i="23"/>
  <c r="Y184" i="23"/>
  <c r="AQ80" i="23"/>
  <c r="AQ83" i="23" s="1"/>
  <c r="AQ56" i="23"/>
  <c r="AV80" i="23"/>
  <c r="AV83" i="23" s="1"/>
  <c r="O237" i="23"/>
  <c r="Y210" i="23"/>
  <c r="Y213" i="23" s="1"/>
  <c r="Y214" i="23" s="1"/>
  <c r="T132" i="23"/>
  <c r="T135" i="23" s="1"/>
  <c r="Y158" i="23"/>
  <c r="Y161" i="23" s="1"/>
  <c r="O119" i="23"/>
  <c r="O122" i="23" s="1"/>
  <c r="T68" i="23"/>
  <c r="AQ145" i="23"/>
  <c r="AV106" i="23"/>
  <c r="T250" i="23"/>
  <c r="O210" i="23"/>
  <c r="O213" i="23" s="1"/>
  <c r="O214" i="23" s="1"/>
  <c r="Y119" i="23"/>
  <c r="Y122" i="23" s="1"/>
  <c r="Y44" i="23"/>
  <c r="C11" i="16"/>
  <c r="AQ248" i="23"/>
  <c r="BA236" i="23"/>
  <c r="AV210" i="23"/>
  <c r="AV213" i="23" s="1"/>
  <c r="BA158" i="23"/>
  <c r="BA161" i="23" s="1"/>
  <c r="BA145" i="23"/>
  <c r="AQ32" i="23"/>
  <c r="BA119" i="23"/>
  <c r="BA122" i="23" s="1"/>
  <c r="AV93" i="23"/>
  <c r="AV96" i="23" s="1"/>
  <c r="AQ44" i="23"/>
  <c r="T184" i="23"/>
  <c r="AV68" i="23"/>
  <c r="AV71" i="23" s="1"/>
  <c r="Y250" i="23"/>
  <c r="BA68" i="23"/>
  <c r="BA71" i="23" s="1"/>
  <c r="Y224" i="23"/>
  <c r="T210" i="23"/>
  <c r="T213" i="23" s="1"/>
  <c r="T214" i="23" s="1"/>
  <c r="O132" i="23"/>
  <c r="O135" i="23" s="1"/>
  <c r="T158" i="23"/>
  <c r="T161" i="23" s="1"/>
  <c r="O145" i="23"/>
  <c r="O148" i="23" s="1"/>
  <c r="O149" i="23" s="1"/>
  <c r="Y80" i="23"/>
  <c r="T93" i="23"/>
  <c r="T96" i="23" s="1"/>
  <c r="O68" i="23"/>
  <c r="T44" i="23"/>
  <c r="G13" i="18"/>
  <c r="AV224" i="23"/>
  <c r="AV185" i="23"/>
  <c r="AV188" i="23" s="1"/>
  <c r="AV236" i="23"/>
  <c r="AQ210" i="23"/>
  <c r="AQ213" i="23" s="1"/>
  <c r="Y263" i="23"/>
  <c r="AQ93" i="23"/>
  <c r="AQ96" i="23" s="1"/>
  <c r="BA56" i="23"/>
  <c r="T224" i="23"/>
  <c r="BA80" i="23"/>
  <c r="BA83" i="23" s="1"/>
  <c r="T80" i="23"/>
  <c r="O44" i="23"/>
  <c r="E32" i="2"/>
  <c r="F30" i="2" s="1"/>
  <c r="C3" i="16"/>
  <c r="BA221" i="23"/>
  <c r="AV221" i="23"/>
  <c r="BA245" i="23"/>
  <c r="AV245" i="23"/>
  <c r="AQ221" i="23"/>
  <c r="AQ245" i="23"/>
  <c r="AL221" i="23"/>
  <c r="AL245" i="23"/>
  <c r="AV233" i="23"/>
  <c r="AQ233" i="23"/>
  <c r="BA233" i="23"/>
  <c r="AL142" i="23"/>
  <c r="AQ29" i="23"/>
  <c r="AL233" i="23"/>
  <c r="AL29" i="23"/>
  <c r="Y247" i="23"/>
  <c r="T247" i="23"/>
  <c r="Y260" i="23"/>
  <c r="BA53" i="23"/>
  <c r="Y234" i="23"/>
  <c r="Y221" i="23"/>
  <c r="T260" i="23"/>
  <c r="T221" i="23"/>
  <c r="T234" i="23"/>
  <c r="Y181" i="23"/>
  <c r="T181" i="23"/>
  <c r="BA142" i="23"/>
  <c r="AQ142" i="23"/>
  <c r="AV103" i="23"/>
  <c r="BA41" i="23"/>
  <c r="AQ41" i="23"/>
  <c r="AQ53" i="23"/>
  <c r="AV53" i="23"/>
  <c r="AV142" i="23"/>
  <c r="AV29" i="23"/>
  <c r="BA29" i="23"/>
  <c r="Y77" i="23"/>
  <c r="T77" i="23"/>
  <c r="AL41" i="23"/>
  <c r="AL53" i="23"/>
  <c r="AQ103" i="23"/>
  <c r="AL103" i="23"/>
  <c r="Y65" i="23"/>
  <c r="T65" i="23"/>
  <c r="AV41" i="23"/>
  <c r="BA103" i="23"/>
  <c r="T53" i="23"/>
  <c r="Y53" i="23"/>
  <c r="Y41" i="23"/>
  <c r="T41" i="23"/>
  <c r="Y29" i="23"/>
  <c r="T29" i="23"/>
  <c r="C14" i="16"/>
  <c r="BA198" i="23"/>
  <c r="BA200" i="23" s="1"/>
  <c r="AV198" i="23"/>
  <c r="AV200" i="23" s="1"/>
  <c r="AQ198" i="23"/>
  <c r="AQ200" i="23" s="1"/>
  <c r="AL198" i="23"/>
  <c r="AL200" i="23" s="1"/>
  <c r="AG198" i="23"/>
  <c r="AG200" i="23" s="1"/>
  <c r="BA172" i="23"/>
  <c r="BA174" i="23" s="1"/>
  <c r="AV172" i="23"/>
  <c r="AV174" i="23" s="1"/>
  <c r="AQ172" i="23"/>
  <c r="AQ174" i="23" s="1"/>
  <c r="AL172" i="23"/>
  <c r="AL174" i="23" s="1"/>
  <c r="AG172" i="23"/>
  <c r="AG174" i="23" s="1"/>
  <c r="BA133" i="23"/>
  <c r="BA135" i="23" s="1"/>
  <c r="AV133" i="23"/>
  <c r="AV135" i="23" s="1"/>
  <c r="AQ133" i="23"/>
  <c r="AQ135" i="23" s="1"/>
  <c r="AL133" i="23"/>
  <c r="AL135" i="23" s="1"/>
  <c r="AG133" i="23"/>
  <c r="AG135" i="23" s="1"/>
  <c r="Y198" i="23"/>
  <c r="Y200" i="23" s="1"/>
  <c r="Y201" i="23" s="1"/>
  <c r="E198" i="23"/>
  <c r="E200" i="23" s="1"/>
  <c r="E201" i="23" s="1"/>
  <c r="Y172" i="23"/>
  <c r="Y174" i="23" s="1"/>
  <c r="O172" i="23"/>
  <c r="O174" i="23" s="1"/>
  <c r="J172" i="23"/>
  <c r="J174" i="23" s="1"/>
  <c r="J198" i="23"/>
  <c r="J200" i="23" s="1"/>
  <c r="J201" i="23" s="1"/>
  <c r="T172" i="23"/>
  <c r="T174" i="23" s="1"/>
  <c r="E172" i="23"/>
  <c r="E174" i="23" s="1"/>
  <c r="T198" i="23"/>
  <c r="T200" i="23" s="1"/>
  <c r="T201" i="23" s="1"/>
  <c r="O198" i="23"/>
  <c r="O200" i="23" s="1"/>
  <c r="O201" i="23" s="1"/>
  <c r="Y107" i="23"/>
  <c r="Y109" i="23" s="1"/>
  <c r="T107" i="23"/>
  <c r="T109" i="23" s="1"/>
  <c r="O107" i="23"/>
  <c r="O109" i="23" s="1"/>
  <c r="J107" i="23"/>
  <c r="J109" i="23" s="1"/>
  <c r="E107" i="23"/>
  <c r="E109" i="23" s="1"/>
  <c r="Y57" i="23"/>
  <c r="T57" i="23"/>
  <c r="O57" i="23"/>
  <c r="E57" i="23"/>
  <c r="E59" i="23" s="1"/>
  <c r="J57" i="23"/>
  <c r="C13" i="16"/>
  <c r="AG248" i="23"/>
  <c r="AG251" i="23" s="1"/>
  <c r="AG236" i="23"/>
  <c r="AG239" i="23" s="1"/>
  <c r="AG210" i="23"/>
  <c r="AG213" i="23" s="1"/>
  <c r="AG185" i="23"/>
  <c r="AG188" i="23" s="1"/>
  <c r="AG224" i="23"/>
  <c r="AG227" i="23" s="1"/>
  <c r="AG158" i="23"/>
  <c r="AG161" i="23" s="1"/>
  <c r="AG145" i="23"/>
  <c r="AG148" i="23" s="1"/>
  <c r="AG32" i="23"/>
  <c r="AG35" i="23" s="1"/>
  <c r="E263" i="23"/>
  <c r="E266" i="23" s="1"/>
  <c r="AG119" i="23"/>
  <c r="AG122" i="23" s="1"/>
  <c r="AG93" i="23"/>
  <c r="AG96" i="23" s="1"/>
  <c r="AG44" i="23"/>
  <c r="AG47" i="23" s="1"/>
  <c r="E184" i="23"/>
  <c r="E187" i="23" s="1"/>
  <c r="AG106" i="23"/>
  <c r="AG109" i="23" s="1"/>
  <c r="AG56" i="23"/>
  <c r="AG59" i="23" s="1"/>
  <c r="E250" i="23"/>
  <c r="E253" i="23" s="1"/>
  <c r="AG68" i="23"/>
  <c r="AG71" i="23" s="1"/>
  <c r="E237" i="23"/>
  <c r="E240" i="23" s="1"/>
  <c r="E224" i="23"/>
  <c r="E227" i="23" s="1"/>
  <c r="E210" i="23"/>
  <c r="E213" i="23" s="1"/>
  <c r="E214" i="23" s="1"/>
  <c r="E132" i="23"/>
  <c r="E135" i="23" s="1"/>
  <c r="AG80" i="23"/>
  <c r="AG83" i="23" s="1"/>
  <c r="E158" i="23"/>
  <c r="E161" i="23" s="1"/>
  <c r="E145" i="23"/>
  <c r="E148" i="23" s="1"/>
  <c r="E149" i="23" s="1"/>
  <c r="E119" i="23"/>
  <c r="E122" i="23" s="1"/>
  <c r="E80" i="23"/>
  <c r="E83" i="23" s="1"/>
  <c r="E93" i="23"/>
  <c r="E96" i="23" s="1"/>
  <c r="E68" i="23"/>
  <c r="E71" i="23" s="1"/>
  <c r="E44" i="23"/>
  <c r="E47" i="23" s="1"/>
  <c r="E48" i="23" s="1"/>
  <c r="E32" i="23"/>
  <c r="E35" i="23" s="1"/>
  <c r="G5" i="18"/>
  <c r="J5" i="18"/>
  <c r="G16" i="18"/>
  <c r="J16" i="18"/>
  <c r="G9" i="18"/>
  <c r="J9" i="18"/>
  <c r="G15" i="18"/>
  <c r="J15" i="18"/>
  <c r="F52" i="11"/>
  <c r="AD21" i="1"/>
  <c r="Y21" i="1"/>
  <c r="C14" i="18"/>
  <c r="H36" i="1"/>
  <c r="M8" i="1"/>
  <c r="C17" i="18"/>
  <c r="K38" i="1"/>
  <c r="F38" i="1"/>
  <c r="H38" i="1" s="1"/>
  <c r="K42" i="1"/>
  <c r="C10" i="18"/>
  <c r="T18" i="5"/>
  <c r="S17" i="5"/>
  <c r="K52" i="11"/>
  <c r="L54" i="5"/>
  <c r="F53" i="10"/>
  <c r="W23" i="13"/>
  <c r="W25" i="13" s="1"/>
  <c r="H41" i="1"/>
  <c r="M10" i="1" s="1"/>
  <c r="X24" i="1"/>
  <c r="N54" i="5"/>
  <c r="L52" i="10"/>
  <c r="C7" i="9"/>
  <c r="C6" i="9"/>
  <c r="J12" i="4"/>
  <c r="D7" i="9"/>
  <c r="D6" i="9"/>
  <c r="S53" i="13"/>
  <c r="V51" i="13" s="1"/>
  <c r="S54" i="13"/>
  <c r="O52" i="11"/>
  <c r="T24" i="5"/>
  <c r="Q53" i="11"/>
  <c r="J53" i="5"/>
  <c r="P53" i="5"/>
  <c r="T8" i="10"/>
  <c r="T23" i="11"/>
  <c r="N53" i="10"/>
  <c r="T23" i="10"/>
  <c r="T23" i="5"/>
  <c r="H39" i="1"/>
  <c r="X22" i="1"/>
  <c r="X23" i="1"/>
  <c r="X25" i="1"/>
  <c r="J10" i="1"/>
  <c r="Y25" i="1"/>
  <c r="AD23" i="1"/>
  <c r="AD22" i="1"/>
  <c r="Y23" i="1"/>
  <c r="Y22" i="1"/>
  <c r="J53" i="10"/>
  <c r="I53" i="10"/>
  <c r="M53" i="11"/>
  <c r="T18" i="10"/>
  <c r="S24" i="10"/>
  <c r="I54" i="5"/>
  <c r="T18" i="11"/>
  <c r="G52" i="11"/>
  <c r="G53" i="5"/>
  <c r="S13" i="5"/>
  <c r="T51" i="11"/>
  <c r="D8" i="9" s="1"/>
  <c r="U8" i="11"/>
  <c r="S26" i="11"/>
  <c r="C8" i="9" s="1"/>
  <c r="T8" i="11"/>
  <c r="E53" i="5"/>
  <c r="E54" i="5"/>
  <c r="T12" i="5"/>
  <c r="S12" i="5"/>
  <c r="E52" i="10"/>
  <c r="E53" i="10"/>
  <c r="T13" i="10"/>
  <c r="S13" i="10"/>
  <c r="T14" i="10"/>
  <c r="S14" i="10"/>
  <c r="M53" i="10"/>
  <c r="M52" i="10"/>
  <c r="R26" i="10"/>
  <c r="C3" i="9" s="1"/>
  <c r="U24" i="11"/>
  <c r="T24" i="11"/>
  <c r="S9" i="10"/>
  <c r="T9" i="10"/>
  <c r="K12" i="4"/>
  <c r="T8" i="5"/>
  <c r="R26" i="5"/>
  <c r="P53" i="10"/>
  <c r="P52" i="10"/>
  <c r="Q53" i="10"/>
  <c r="Q52" i="10"/>
  <c r="S51" i="10"/>
  <c r="D3" i="9" s="1"/>
  <c r="Q54" i="5"/>
  <c r="Q53" i="5"/>
  <c r="S52" i="5"/>
  <c r="U12" i="11"/>
  <c r="T12" i="11"/>
  <c r="J53" i="11"/>
  <c r="J52" i="11"/>
  <c r="F53" i="5"/>
  <c r="F54" i="5"/>
  <c r="N52" i="11"/>
  <c r="N53" i="11"/>
  <c r="U13" i="11"/>
  <c r="T13" i="11"/>
  <c r="B7" i="29" l="1"/>
  <c r="C15" i="29" s="1"/>
  <c r="I7" i="29"/>
  <c r="J15" i="29" s="1"/>
  <c r="F26" i="2"/>
  <c r="F31" i="2"/>
  <c r="F29" i="2"/>
  <c r="AQ97" i="23"/>
  <c r="AQ7" i="23" s="1"/>
  <c r="AN7" i="23"/>
  <c r="AV189" i="23"/>
  <c r="AU18" i="23" s="1"/>
  <c r="AR18" i="23"/>
  <c r="P12" i="23"/>
  <c r="T162" i="23"/>
  <c r="S12" i="23" s="1"/>
  <c r="BA72" i="23"/>
  <c r="AY9" i="23" s="1"/>
  <c r="AV9" i="23"/>
  <c r="AN8" i="23"/>
  <c r="AQ84" i="23"/>
  <c r="AQ8" i="23" s="1"/>
  <c r="BA214" i="23"/>
  <c r="AY16" i="23" s="1"/>
  <c r="AV16" i="23"/>
  <c r="L8" i="23"/>
  <c r="O8" i="23"/>
  <c r="O97" i="23"/>
  <c r="AV123" i="23"/>
  <c r="AU11" i="23" s="1"/>
  <c r="AR11" i="23"/>
  <c r="T11" i="23"/>
  <c r="Y136" i="23"/>
  <c r="W11" i="23" s="1"/>
  <c r="AQ123" i="23"/>
  <c r="AQ11" i="23" s="1"/>
  <c r="AN11" i="23"/>
  <c r="AV18" i="23"/>
  <c r="BA189" i="23"/>
  <c r="AY18" i="23" s="1"/>
  <c r="BA84" i="23"/>
  <c r="AY8" i="23" s="1"/>
  <c r="AV8" i="23"/>
  <c r="P8" i="23"/>
  <c r="T97" i="23"/>
  <c r="S8" i="23" s="1"/>
  <c r="L11" i="23"/>
  <c r="O136" i="23"/>
  <c r="O11" i="23" s="1"/>
  <c r="AR7" i="23"/>
  <c r="AV97" i="23"/>
  <c r="AU7" i="23" s="1"/>
  <c r="AV14" i="23"/>
  <c r="BA162" i="23"/>
  <c r="AY14" i="23" s="1"/>
  <c r="L10" i="23"/>
  <c r="O123" i="23"/>
  <c r="O10" i="23" s="1"/>
  <c r="L12" i="23"/>
  <c r="O162" i="23"/>
  <c r="O12" i="23" s="1"/>
  <c r="AR14" i="23"/>
  <c r="AV162" i="23"/>
  <c r="AU14" i="23" s="1"/>
  <c r="P10" i="23"/>
  <c r="T123" i="23"/>
  <c r="S10" i="23" s="1"/>
  <c r="AQ214" i="23"/>
  <c r="AQ16" i="23" s="1"/>
  <c r="AN16" i="23"/>
  <c r="AY236" i="23"/>
  <c r="AT210" i="23"/>
  <c r="AT213" i="23" s="1"/>
  <c r="AT214" i="23" s="1"/>
  <c r="AT16" i="23" s="1"/>
  <c r="AO185" i="23"/>
  <c r="AO188" i="23" s="1"/>
  <c r="AO189" i="23" s="1"/>
  <c r="AP18" i="23" s="1"/>
  <c r="AY248" i="23"/>
  <c r="AO158" i="23"/>
  <c r="AO161" i="23" s="1"/>
  <c r="AO162" i="23" s="1"/>
  <c r="AP14" i="23" s="1"/>
  <c r="AY158" i="23"/>
  <c r="AY161" i="23" s="1"/>
  <c r="AY162" i="23" s="1"/>
  <c r="AX14" i="23" s="1"/>
  <c r="AY106" i="23"/>
  <c r="AT80" i="23"/>
  <c r="AT83" i="23" s="1"/>
  <c r="AT84" i="23" s="1"/>
  <c r="AT8" i="23" s="1"/>
  <c r="AO68" i="23"/>
  <c r="AO71" i="23" s="1"/>
  <c r="AO72" i="23" s="1"/>
  <c r="AP9" i="23" s="1"/>
  <c r="W263" i="23"/>
  <c r="W237" i="23"/>
  <c r="R224" i="23"/>
  <c r="M210" i="23"/>
  <c r="M213" i="23" s="1"/>
  <c r="M214" i="23" s="1"/>
  <c r="W184" i="23"/>
  <c r="W250" i="23"/>
  <c r="M145" i="23"/>
  <c r="M148" i="23" s="1"/>
  <c r="M149" i="23" s="1"/>
  <c r="R158" i="23"/>
  <c r="R161" i="23" s="1"/>
  <c r="R162" i="23" s="1"/>
  <c r="R12" i="23" s="1"/>
  <c r="R250" i="23"/>
  <c r="W93" i="23"/>
  <c r="W96" i="23" s="1"/>
  <c r="W97" i="23" s="1"/>
  <c r="V8" i="23" s="1"/>
  <c r="W119" i="23"/>
  <c r="W122" i="23" s="1"/>
  <c r="W123" i="23" s="1"/>
  <c r="V10" i="23" s="1"/>
  <c r="R80" i="23"/>
  <c r="M32" i="23"/>
  <c r="R44" i="23"/>
  <c r="G11" i="16"/>
  <c r="AT185" i="23"/>
  <c r="AT188" i="23" s="1"/>
  <c r="AT189" i="23" s="1"/>
  <c r="AT18" i="23" s="1"/>
  <c r="AO145" i="23"/>
  <c r="AT68" i="23"/>
  <c r="AT71" i="23" s="1"/>
  <c r="AT72" i="23" s="1"/>
  <c r="AT9" i="23" s="1"/>
  <c r="R210" i="23"/>
  <c r="R213" i="23" s="1"/>
  <c r="R214" i="23" s="1"/>
  <c r="R145" i="23"/>
  <c r="R148" i="23" s="1"/>
  <c r="R149" i="23" s="1"/>
  <c r="M132" i="23"/>
  <c r="M135" i="23" s="1"/>
  <c r="M136" i="23" s="1"/>
  <c r="N11" i="23" s="1"/>
  <c r="M68" i="23"/>
  <c r="AT236" i="23"/>
  <c r="AO210" i="23"/>
  <c r="AO213" i="23" s="1"/>
  <c r="AO214" i="23" s="1"/>
  <c r="AP16" i="23" s="1"/>
  <c r="AY224" i="23"/>
  <c r="AO248" i="23"/>
  <c r="AY145" i="23"/>
  <c r="AY44" i="23"/>
  <c r="AT106" i="23"/>
  <c r="AO80" i="23"/>
  <c r="AO83" i="23" s="1"/>
  <c r="AO84" i="23" s="1"/>
  <c r="AP8" i="23" s="1"/>
  <c r="AY32" i="23"/>
  <c r="R263" i="23"/>
  <c r="R237" i="23"/>
  <c r="M224" i="23"/>
  <c r="AY119" i="23"/>
  <c r="AY122" i="23" s="1"/>
  <c r="AY123" i="23" s="1"/>
  <c r="AX11" i="23" s="1"/>
  <c r="R184" i="23"/>
  <c r="W158" i="23"/>
  <c r="W161" i="23" s="1"/>
  <c r="W162" i="23" s="1"/>
  <c r="V12" i="23" s="1"/>
  <c r="M250" i="23"/>
  <c r="W145" i="23"/>
  <c r="W148" i="23" s="1"/>
  <c r="W149" i="23" s="1"/>
  <c r="W132" i="23"/>
  <c r="W135" i="23" s="1"/>
  <c r="W136" i="23" s="1"/>
  <c r="V11" i="23" s="1"/>
  <c r="R93" i="23"/>
  <c r="R96" i="23" s="1"/>
  <c r="R97" i="23" s="1"/>
  <c r="R8" i="23" s="1"/>
  <c r="R119" i="23"/>
  <c r="R122" i="23" s="1"/>
  <c r="R123" i="23" s="1"/>
  <c r="R10" i="23" s="1"/>
  <c r="R68" i="23"/>
  <c r="W44" i="23"/>
  <c r="W32" i="23"/>
  <c r="AO224" i="23"/>
  <c r="AY80" i="23"/>
  <c r="AY83" i="23" s="1"/>
  <c r="AY84" i="23" s="1"/>
  <c r="AX8" i="23" s="1"/>
  <c r="AT119" i="23"/>
  <c r="AT122" i="23" s="1"/>
  <c r="AT123" i="23" s="1"/>
  <c r="AT11" i="23" s="1"/>
  <c r="AO56" i="23"/>
  <c r="AY56" i="23"/>
  <c r="W80" i="23"/>
  <c r="AO236" i="23"/>
  <c r="AY185" i="23"/>
  <c r="AY188" i="23" s="1"/>
  <c r="AY189" i="23" s="1"/>
  <c r="AX18" i="23" s="1"/>
  <c r="AT224" i="23"/>
  <c r="AT248" i="23"/>
  <c r="AT145" i="23"/>
  <c r="AT44" i="23"/>
  <c r="AO106" i="23"/>
  <c r="AY68" i="23"/>
  <c r="AY71" i="23" s="1"/>
  <c r="AY72" i="23" s="1"/>
  <c r="AX9" i="23" s="1"/>
  <c r="AT32" i="23"/>
  <c r="M263" i="23"/>
  <c r="M237" i="23"/>
  <c r="W210" i="23"/>
  <c r="W213" i="23" s="1"/>
  <c r="W214" i="23" s="1"/>
  <c r="AO93" i="23"/>
  <c r="AO96" i="23" s="1"/>
  <c r="AO97" i="23" s="1"/>
  <c r="AP7" i="23" s="1"/>
  <c r="M184" i="23"/>
  <c r="M158" i="23"/>
  <c r="M161" i="23" s="1"/>
  <c r="M162" i="23" s="1"/>
  <c r="N12" i="23" s="1"/>
  <c r="AY93" i="23"/>
  <c r="AY96" i="23" s="1"/>
  <c r="AY97" i="23" s="1"/>
  <c r="AX7" i="23" s="1"/>
  <c r="AO119" i="23"/>
  <c r="AO122" i="23" s="1"/>
  <c r="AO123" i="23" s="1"/>
  <c r="AP11" i="23" s="1"/>
  <c r="R132" i="23"/>
  <c r="R135" i="23" s="1"/>
  <c r="R136" i="23" s="1"/>
  <c r="R11" i="23" s="1"/>
  <c r="M93" i="23"/>
  <c r="M96" i="23" s="1"/>
  <c r="M119" i="23"/>
  <c r="M122" i="23" s="1"/>
  <c r="M123" i="23" s="1"/>
  <c r="N10" i="23" s="1"/>
  <c r="W68" i="23"/>
  <c r="M44" i="23"/>
  <c r="AY210" i="23"/>
  <c r="AY213" i="23" s="1"/>
  <c r="AY214" i="23" s="1"/>
  <c r="AX16" i="23" s="1"/>
  <c r="AT158" i="23"/>
  <c r="AT161" i="23" s="1"/>
  <c r="AT162" i="23" s="1"/>
  <c r="AT14" i="23" s="1"/>
  <c r="AO44" i="23"/>
  <c r="AO32" i="23"/>
  <c r="W224" i="23"/>
  <c r="AT93" i="23"/>
  <c r="AT96" i="23" s="1"/>
  <c r="AT97" i="23" s="1"/>
  <c r="AT7" i="23" s="1"/>
  <c r="AT56" i="23"/>
  <c r="M80" i="23"/>
  <c r="R32" i="23"/>
  <c r="I13" i="18"/>
  <c r="I11" i="16" s="1"/>
  <c r="AV72" i="23"/>
  <c r="AU9" i="23" s="1"/>
  <c r="AR9" i="23"/>
  <c r="AV11" i="23"/>
  <c r="BA123" i="23"/>
  <c r="AY11" i="23" s="1"/>
  <c r="AV214" i="23"/>
  <c r="AU16" i="23" s="1"/>
  <c r="AR16" i="23"/>
  <c r="T12" i="23"/>
  <c r="Y162" i="23"/>
  <c r="W12" i="23" s="1"/>
  <c r="AV84" i="23"/>
  <c r="AU8" i="23" s="1"/>
  <c r="AR8" i="23"/>
  <c r="AN9" i="23"/>
  <c r="AQ72" i="23"/>
  <c r="AQ9" i="23" s="1"/>
  <c r="Y123" i="23"/>
  <c r="W10" i="23" s="1"/>
  <c r="T10" i="23"/>
  <c r="T136" i="23"/>
  <c r="S11" i="23" s="1"/>
  <c r="P11" i="23"/>
  <c r="AV7" i="23"/>
  <c r="BA97" i="23"/>
  <c r="AY7" i="23" s="1"/>
  <c r="AQ189" i="23"/>
  <c r="AQ18" i="23" s="1"/>
  <c r="AN18" i="23"/>
  <c r="J11" i="16"/>
  <c r="L13" i="18"/>
  <c r="L11" i="16" s="1"/>
  <c r="Y97" i="23"/>
  <c r="W8" i="23" s="1"/>
  <c r="T8" i="23"/>
  <c r="AQ162" i="23"/>
  <c r="AQ14" i="23" s="1"/>
  <c r="AN14" i="23"/>
  <c r="F28" i="2"/>
  <c r="F27" i="2"/>
  <c r="L9" i="18"/>
  <c r="L7" i="16" s="1"/>
  <c r="D27" i="16" s="1"/>
  <c r="J7" i="16"/>
  <c r="L5" i="18"/>
  <c r="L3" i="16" s="1"/>
  <c r="J3" i="16"/>
  <c r="E72" i="23"/>
  <c r="G6" i="23" s="1"/>
  <c r="D6" i="23"/>
  <c r="AG48" i="23"/>
  <c r="AI5" i="23" s="1"/>
  <c r="AF5" i="23"/>
  <c r="AF18" i="23"/>
  <c r="AG189" i="23"/>
  <c r="AI18" i="23" s="1"/>
  <c r="I9" i="18"/>
  <c r="I7" i="16" s="1"/>
  <c r="G7" i="16"/>
  <c r="D15" i="23"/>
  <c r="E228" i="23"/>
  <c r="G15" i="23" s="1"/>
  <c r="AG97" i="23"/>
  <c r="AI7" i="23" s="1"/>
  <c r="AF7" i="23"/>
  <c r="C8" i="16"/>
  <c r="AQ246" i="23"/>
  <c r="AQ222" i="23"/>
  <c r="AL246" i="23"/>
  <c r="AL222" i="23"/>
  <c r="AL234" i="23"/>
  <c r="AQ234" i="23"/>
  <c r="AQ143" i="23"/>
  <c r="AL143" i="23"/>
  <c r="AQ54" i="23"/>
  <c r="AQ104" i="23"/>
  <c r="O222" i="23"/>
  <c r="O182" i="23"/>
  <c r="AL54" i="23"/>
  <c r="AQ42" i="23"/>
  <c r="O248" i="23"/>
  <c r="J182" i="23"/>
  <c r="AQ30" i="23"/>
  <c r="AL30" i="23"/>
  <c r="J235" i="23"/>
  <c r="O261" i="23"/>
  <c r="O235" i="23"/>
  <c r="O66" i="23"/>
  <c r="J66" i="23"/>
  <c r="J78" i="23"/>
  <c r="AL104" i="23"/>
  <c r="J261" i="23"/>
  <c r="J222" i="23"/>
  <c r="AL42" i="23"/>
  <c r="O78" i="23"/>
  <c r="J248" i="23"/>
  <c r="O54" i="23"/>
  <c r="O59" i="23" s="1"/>
  <c r="O30" i="23"/>
  <c r="J30" i="23"/>
  <c r="J54" i="23"/>
  <c r="J59" i="23" s="1"/>
  <c r="O42" i="23"/>
  <c r="J42" i="23"/>
  <c r="C15" i="16"/>
  <c r="BA250" i="23"/>
  <c r="AV250" i="23"/>
  <c r="AQ250" i="23"/>
  <c r="AL250" i="23"/>
  <c r="AV226" i="23"/>
  <c r="AQ226" i="23"/>
  <c r="BA238" i="23"/>
  <c r="AV238" i="23"/>
  <c r="AQ238" i="23"/>
  <c r="AL238" i="23"/>
  <c r="BA226" i="23"/>
  <c r="AL226" i="23"/>
  <c r="AV147" i="23"/>
  <c r="AQ147" i="23"/>
  <c r="BA147" i="23"/>
  <c r="AL147" i="23"/>
  <c r="BA34" i="23"/>
  <c r="AV34" i="23"/>
  <c r="AQ34" i="23"/>
  <c r="AL34" i="23"/>
  <c r="Y265" i="23"/>
  <c r="T265" i="23"/>
  <c r="O265" i="23"/>
  <c r="J265" i="23"/>
  <c r="BA46" i="23"/>
  <c r="AV46" i="23"/>
  <c r="AQ46" i="23"/>
  <c r="AL46" i="23"/>
  <c r="AV108" i="23"/>
  <c r="Y186" i="23"/>
  <c r="T186" i="23"/>
  <c r="O186" i="23"/>
  <c r="J186" i="23"/>
  <c r="BA108" i="23"/>
  <c r="BA58" i="23"/>
  <c r="AV58" i="23"/>
  <c r="AQ58" i="23"/>
  <c r="AL58" i="23"/>
  <c r="Y252" i="23"/>
  <c r="T252" i="23"/>
  <c r="O252" i="23"/>
  <c r="J252" i="23"/>
  <c r="AL108" i="23"/>
  <c r="Y239" i="23"/>
  <c r="T239" i="23"/>
  <c r="O239" i="23"/>
  <c r="J239" i="23"/>
  <c r="Y226" i="23"/>
  <c r="T226" i="23"/>
  <c r="O226" i="23"/>
  <c r="J226" i="23"/>
  <c r="AQ108" i="23"/>
  <c r="Y82" i="23"/>
  <c r="T82" i="23"/>
  <c r="O82" i="23"/>
  <c r="J82" i="23"/>
  <c r="T70" i="23"/>
  <c r="J70" i="23"/>
  <c r="Y70" i="23"/>
  <c r="O70" i="23"/>
  <c r="T46" i="23"/>
  <c r="O46" i="23"/>
  <c r="J34" i="23"/>
  <c r="T34" i="23"/>
  <c r="O34" i="23"/>
  <c r="Y46" i="23"/>
  <c r="J46" i="23"/>
  <c r="Y34" i="23"/>
  <c r="L15" i="18"/>
  <c r="L13" i="16" s="1"/>
  <c r="J13" i="16"/>
  <c r="L16" i="18"/>
  <c r="L14" i="16" s="1"/>
  <c r="J14" i="16"/>
  <c r="D4" i="23"/>
  <c r="E36" i="23"/>
  <c r="E84" i="23"/>
  <c r="G7" i="23" s="1"/>
  <c r="D7" i="23"/>
  <c r="AF8" i="23"/>
  <c r="AG84" i="23"/>
  <c r="AI8" i="23" s="1"/>
  <c r="E241" i="23"/>
  <c r="G16" i="23" s="1"/>
  <c r="D16" i="23"/>
  <c r="AF12" i="23"/>
  <c r="AG110" i="23"/>
  <c r="AI12" i="23" s="1"/>
  <c r="AF11" i="23"/>
  <c r="AG123" i="23"/>
  <c r="AI11" i="23" s="1"/>
  <c r="AF14" i="23"/>
  <c r="AG162" i="23"/>
  <c r="AI14" i="23" s="1"/>
  <c r="AF20" i="23"/>
  <c r="AG240" i="23"/>
  <c r="AI20" i="23" s="1"/>
  <c r="D5" i="23"/>
  <c r="E60" i="23"/>
  <c r="G5" i="23" s="1"/>
  <c r="D9" i="23"/>
  <c r="E110" i="23"/>
  <c r="G9" i="23" s="1"/>
  <c r="T9" i="23"/>
  <c r="Y110" i="23"/>
  <c r="W9" i="23" s="1"/>
  <c r="T175" i="23"/>
  <c r="S13" i="23" s="1"/>
  <c r="P13" i="23"/>
  <c r="Y175" i="23"/>
  <c r="W13" i="23" s="1"/>
  <c r="T13" i="23"/>
  <c r="AJ10" i="23"/>
  <c r="AL136" i="23"/>
  <c r="AM10" i="23" s="1"/>
  <c r="AF13" i="23"/>
  <c r="AG175" i="23"/>
  <c r="AI13" i="23" s="1"/>
  <c r="BA175" i="23"/>
  <c r="AY13" i="23" s="1"/>
  <c r="AV13" i="23"/>
  <c r="AV201" i="23"/>
  <c r="AU17" i="23" s="1"/>
  <c r="AR17" i="23"/>
  <c r="Y35" i="23"/>
  <c r="T59" i="23"/>
  <c r="Y71" i="23"/>
  <c r="AV35" i="23"/>
  <c r="BA148" i="23"/>
  <c r="T227" i="23"/>
  <c r="BA59" i="23"/>
  <c r="BA239" i="23"/>
  <c r="BA251" i="23"/>
  <c r="D17" i="23"/>
  <c r="E254" i="23"/>
  <c r="G17" i="23" s="1"/>
  <c r="AF6" i="23"/>
  <c r="AG36" i="23"/>
  <c r="AI6" i="23" s="1"/>
  <c r="O110" i="23"/>
  <c r="O9" i="23" s="1"/>
  <c r="L9" i="23"/>
  <c r="G3" i="16"/>
  <c r="AY245" i="23"/>
  <c r="AJ221" i="23"/>
  <c r="AJ245" i="23"/>
  <c r="AY221" i="23"/>
  <c r="AT233" i="23"/>
  <c r="AT245" i="23"/>
  <c r="AT221" i="23"/>
  <c r="AO221" i="23"/>
  <c r="AO245" i="23"/>
  <c r="AJ233" i="23"/>
  <c r="AY53" i="23"/>
  <c r="W247" i="23"/>
  <c r="R247" i="23"/>
  <c r="AO233" i="23"/>
  <c r="AJ142" i="23"/>
  <c r="AO29" i="23"/>
  <c r="R234" i="23"/>
  <c r="R221" i="23"/>
  <c r="W260" i="23"/>
  <c r="AY233" i="23"/>
  <c r="W234" i="23"/>
  <c r="W221" i="23"/>
  <c r="R260" i="23"/>
  <c r="W181" i="23"/>
  <c r="R181" i="23"/>
  <c r="AT53" i="23"/>
  <c r="AJ29" i="23"/>
  <c r="AY29" i="23"/>
  <c r="AO142" i="23"/>
  <c r="AT103" i="23"/>
  <c r="AT29" i="23"/>
  <c r="AY142" i="23"/>
  <c r="AO53" i="23"/>
  <c r="AJ53" i="23"/>
  <c r="AO41" i="23"/>
  <c r="AT142" i="23"/>
  <c r="AY41" i="23"/>
  <c r="W77" i="23"/>
  <c r="R77" i="23"/>
  <c r="AT41" i="23"/>
  <c r="AJ41" i="23"/>
  <c r="AO103" i="23"/>
  <c r="AJ103" i="23"/>
  <c r="AY103" i="23"/>
  <c r="R65" i="23"/>
  <c r="W65" i="23"/>
  <c r="W53" i="23"/>
  <c r="R41" i="23"/>
  <c r="R53" i="23"/>
  <c r="W41" i="23"/>
  <c r="W29" i="23"/>
  <c r="R29" i="23"/>
  <c r="E97" i="23"/>
  <c r="G8" i="23" s="1"/>
  <c r="D8" i="23"/>
  <c r="AF4" i="23"/>
  <c r="AG60" i="23"/>
  <c r="AI4" i="23" s="1"/>
  <c r="AF15" i="23"/>
  <c r="AG149" i="23"/>
  <c r="AI15" i="23" s="1"/>
  <c r="C12" i="16"/>
  <c r="AL248" i="23"/>
  <c r="AL185" i="23"/>
  <c r="AL188" i="23" s="1"/>
  <c r="AL236" i="23"/>
  <c r="AL210" i="23"/>
  <c r="AL213" i="23" s="1"/>
  <c r="AL224" i="23"/>
  <c r="AL227" i="23" s="1"/>
  <c r="AL158" i="23"/>
  <c r="AL161" i="23" s="1"/>
  <c r="AL145" i="23"/>
  <c r="AL148" i="23" s="1"/>
  <c r="AL32" i="23"/>
  <c r="J263" i="23"/>
  <c r="AL119" i="23"/>
  <c r="AL122" i="23" s="1"/>
  <c r="AL93" i="23"/>
  <c r="AL96" i="23" s="1"/>
  <c r="AL44" i="23"/>
  <c r="AL47" i="23" s="1"/>
  <c r="AL80" i="23"/>
  <c r="AL83" i="23" s="1"/>
  <c r="J184" i="23"/>
  <c r="AL56" i="23"/>
  <c r="J250" i="23"/>
  <c r="AL106" i="23"/>
  <c r="J237" i="23"/>
  <c r="J224" i="23"/>
  <c r="J210" i="23"/>
  <c r="J213" i="23" s="1"/>
  <c r="J214" i="23" s="1"/>
  <c r="AL68" i="23"/>
  <c r="AL71" i="23" s="1"/>
  <c r="J132" i="23"/>
  <c r="J135" i="23" s="1"/>
  <c r="J158" i="23"/>
  <c r="J161" i="23" s="1"/>
  <c r="J145" i="23"/>
  <c r="J148" i="23" s="1"/>
  <c r="J149" i="23" s="1"/>
  <c r="J119" i="23"/>
  <c r="J122" i="23" s="1"/>
  <c r="J80" i="23"/>
  <c r="J93" i="23"/>
  <c r="J96" i="23" s="1"/>
  <c r="J68" i="23"/>
  <c r="J32" i="23"/>
  <c r="J44" i="23"/>
  <c r="G13" i="16"/>
  <c r="AE236" i="23"/>
  <c r="AE239" i="23" s="1"/>
  <c r="AE240" i="23" s="1"/>
  <c r="AH20" i="23" s="1"/>
  <c r="AE210" i="23"/>
  <c r="AE213" i="23" s="1"/>
  <c r="AE214" i="23" s="1"/>
  <c r="AH16" i="23" s="1"/>
  <c r="AE185" i="23"/>
  <c r="AE188" i="23" s="1"/>
  <c r="AE189" i="23" s="1"/>
  <c r="AH18" i="23" s="1"/>
  <c r="AE224" i="23"/>
  <c r="AE227" i="23" s="1"/>
  <c r="AE228" i="23" s="1"/>
  <c r="AH21" i="23" s="1"/>
  <c r="AE248" i="23"/>
  <c r="AE251" i="23" s="1"/>
  <c r="AE252" i="23" s="1"/>
  <c r="AH19" i="23" s="1"/>
  <c r="AE158" i="23"/>
  <c r="AE161" i="23" s="1"/>
  <c r="AE162" i="23" s="1"/>
  <c r="AH14" i="23" s="1"/>
  <c r="AE145" i="23"/>
  <c r="AE148" i="23" s="1"/>
  <c r="AE149" i="23" s="1"/>
  <c r="AH15" i="23" s="1"/>
  <c r="AE44" i="23"/>
  <c r="AE47" i="23" s="1"/>
  <c r="AE48" i="23" s="1"/>
  <c r="AH5" i="23" s="1"/>
  <c r="AE106" i="23"/>
  <c r="AE109" i="23" s="1"/>
  <c r="AE110" i="23" s="1"/>
  <c r="AH12" i="23" s="1"/>
  <c r="AE80" i="23"/>
  <c r="AE83" i="23" s="1"/>
  <c r="AE84" i="23" s="1"/>
  <c r="AH8" i="23" s="1"/>
  <c r="AE68" i="23"/>
  <c r="AE71" i="23" s="1"/>
  <c r="AE72" i="23" s="1"/>
  <c r="AH9" i="23" s="1"/>
  <c r="AE32" i="23"/>
  <c r="AE35" i="23" s="1"/>
  <c r="AE36" i="23" s="1"/>
  <c r="AH6" i="23" s="1"/>
  <c r="C263" i="23"/>
  <c r="C266" i="23" s="1"/>
  <c r="C267" i="23" s="1"/>
  <c r="F18" i="23" s="1"/>
  <c r="C237" i="23"/>
  <c r="C240" i="23" s="1"/>
  <c r="C241" i="23" s="1"/>
  <c r="F16" i="23" s="1"/>
  <c r="C224" i="23"/>
  <c r="C227" i="23" s="1"/>
  <c r="C228" i="23" s="1"/>
  <c r="F15" i="23" s="1"/>
  <c r="C210" i="23"/>
  <c r="C213" i="23" s="1"/>
  <c r="C214" i="23" s="1"/>
  <c r="AE119" i="23"/>
  <c r="AE122" i="23" s="1"/>
  <c r="AE123" i="23" s="1"/>
  <c r="AH11" i="23" s="1"/>
  <c r="C250" i="23"/>
  <c r="C253" i="23" s="1"/>
  <c r="C254" i="23" s="1"/>
  <c r="F17" i="23" s="1"/>
  <c r="C184" i="23"/>
  <c r="C187" i="23" s="1"/>
  <c r="C188" i="23" s="1"/>
  <c r="F14" i="23" s="1"/>
  <c r="C158" i="23"/>
  <c r="C161" i="23" s="1"/>
  <c r="C162" i="23" s="1"/>
  <c r="F12" i="23" s="1"/>
  <c r="C145" i="23"/>
  <c r="C148" i="23" s="1"/>
  <c r="C149" i="23" s="1"/>
  <c r="AE93" i="23"/>
  <c r="AE96" i="23" s="1"/>
  <c r="AE97" i="23" s="1"/>
  <c r="AH7" i="23" s="1"/>
  <c r="AE56" i="23"/>
  <c r="AE59" i="23" s="1"/>
  <c r="AE60" i="23" s="1"/>
  <c r="AH4" i="23" s="1"/>
  <c r="C132" i="23"/>
  <c r="C135" i="23" s="1"/>
  <c r="C136" i="23" s="1"/>
  <c r="F11" i="23" s="1"/>
  <c r="C93" i="23"/>
  <c r="C96" i="23" s="1"/>
  <c r="C97" i="23" s="1"/>
  <c r="F8" i="23" s="1"/>
  <c r="C119" i="23"/>
  <c r="C122" i="23" s="1"/>
  <c r="C123" i="23" s="1"/>
  <c r="F10" i="23" s="1"/>
  <c r="C80" i="23"/>
  <c r="C83" i="23" s="1"/>
  <c r="C84" i="23" s="1"/>
  <c r="F7" i="23" s="1"/>
  <c r="C68" i="23"/>
  <c r="C71" i="23" s="1"/>
  <c r="C72" i="23" s="1"/>
  <c r="F6" i="23" s="1"/>
  <c r="C32" i="23"/>
  <c r="C35" i="23" s="1"/>
  <c r="C36" i="23" s="1"/>
  <c r="C44" i="23"/>
  <c r="C47" i="23" s="1"/>
  <c r="C48" i="23" s="1"/>
  <c r="G14" i="16"/>
  <c r="AO198" i="23"/>
  <c r="AO200" i="23" s="1"/>
  <c r="AO201" i="23" s="1"/>
  <c r="AP17" i="23" s="1"/>
  <c r="AE198" i="23"/>
  <c r="AE200" i="23" s="1"/>
  <c r="AE201" i="23" s="1"/>
  <c r="AH17" i="23" s="1"/>
  <c r="AY198" i="23"/>
  <c r="AY200" i="23" s="1"/>
  <c r="AY201" i="23" s="1"/>
  <c r="AX17" i="23" s="1"/>
  <c r="AT198" i="23"/>
  <c r="AT200" i="23" s="1"/>
  <c r="AT201" i="23" s="1"/>
  <c r="AT17" i="23" s="1"/>
  <c r="AJ198" i="23"/>
  <c r="AJ200" i="23" s="1"/>
  <c r="AJ201" i="23" s="1"/>
  <c r="AL17" i="23" s="1"/>
  <c r="AY172" i="23"/>
  <c r="AY174" i="23" s="1"/>
  <c r="AY175" i="23" s="1"/>
  <c r="AX13" i="23" s="1"/>
  <c r="AT172" i="23"/>
  <c r="AT174" i="23" s="1"/>
  <c r="AT175" i="23" s="1"/>
  <c r="AT13" i="23" s="1"/>
  <c r="AO172" i="23"/>
  <c r="AO174" i="23" s="1"/>
  <c r="AO175" i="23" s="1"/>
  <c r="AP13" i="23" s="1"/>
  <c r="AJ172" i="23"/>
  <c r="AJ174" i="23" s="1"/>
  <c r="AJ175" i="23" s="1"/>
  <c r="AL13" i="23" s="1"/>
  <c r="AE172" i="23"/>
  <c r="AE174" i="23" s="1"/>
  <c r="AE175" i="23" s="1"/>
  <c r="AH13" i="23" s="1"/>
  <c r="AY133" i="23"/>
  <c r="AY135" i="23" s="1"/>
  <c r="AY136" i="23" s="1"/>
  <c r="AX10" i="23" s="1"/>
  <c r="AT133" i="23"/>
  <c r="AT135" i="23" s="1"/>
  <c r="AT136" i="23" s="1"/>
  <c r="AT10" i="23" s="1"/>
  <c r="AO133" i="23"/>
  <c r="AO135" i="23" s="1"/>
  <c r="AO136" i="23" s="1"/>
  <c r="AP10" i="23" s="1"/>
  <c r="AJ133" i="23"/>
  <c r="AJ135" i="23" s="1"/>
  <c r="AJ136" i="23" s="1"/>
  <c r="AL10" i="23" s="1"/>
  <c r="AE133" i="23"/>
  <c r="AE135" i="23" s="1"/>
  <c r="AE136" i="23" s="1"/>
  <c r="AH10" i="23" s="1"/>
  <c r="W198" i="23"/>
  <c r="W200" i="23" s="1"/>
  <c r="W201" i="23" s="1"/>
  <c r="R198" i="23"/>
  <c r="R200" i="23" s="1"/>
  <c r="R201" i="23" s="1"/>
  <c r="M198" i="23"/>
  <c r="M200" i="23" s="1"/>
  <c r="M201" i="23" s="1"/>
  <c r="H198" i="23"/>
  <c r="H200" i="23" s="1"/>
  <c r="H201" i="23" s="1"/>
  <c r="C198" i="23"/>
  <c r="C200" i="23" s="1"/>
  <c r="C201" i="23" s="1"/>
  <c r="W172" i="23"/>
  <c r="W174" i="23" s="1"/>
  <c r="W175" i="23" s="1"/>
  <c r="V13" i="23" s="1"/>
  <c r="R172" i="23"/>
  <c r="R174" i="23" s="1"/>
  <c r="R175" i="23" s="1"/>
  <c r="R13" i="23" s="1"/>
  <c r="M172" i="23"/>
  <c r="M174" i="23" s="1"/>
  <c r="M175" i="23" s="1"/>
  <c r="N13" i="23" s="1"/>
  <c r="H172" i="23"/>
  <c r="H174" i="23" s="1"/>
  <c r="H175" i="23" s="1"/>
  <c r="J13" i="23" s="1"/>
  <c r="C172" i="23"/>
  <c r="C174" i="23" s="1"/>
  <c r="C175" i="23" s="1"/>
  <c r="F13" i="23" s="1"/>
  <c r="M107" i="23"/>
  <c r="M109" i="23" s="1"/>
  <c r="M110" i="23" s="1"/>
  <c r="N9" i="23" s="1"/>
  <c r="H107" i="23"/>
  <c r="H109" i="23" s="1"/>
  <c r="H110" i="23" s="1"/>
  <c r="J9" i="23" s="1"/>
  <c r="W107" i="23"/>
  <c r="W109" i="23" s="1"/>
  <c r="W110" i="23" s="1"/>
  <c r="V9" i="23" s="1"/>
  <c r="R107" i="23"/>
  <c r="R109" i="23" s="1"/>
  <c r="R110" i="23" s="1"/>
  <c r="R9" i="23" s="1"/>
  <c r="C107" i="23"/>
  <c r="C109" i="23" s="1"/>
  <c r="C110" i="23" s="1"/>
  <c r="F9" i="23" s="1"/>
  <c r="H57" i="23"/>
  <c r="W57" i="23"/>
  <c r="R57" i="23"/>
  <c r="M57" i="23"/>
  <c r="C57" i="23"/>
  <c r="C59" i="23" s="1"/>
  <c r="C60" i="23" s="1"/>
  <c r="F5" i="23" s="1"/>
  <c r="E123" i="23"/>
  <c r="G10" i="23" s="1"/>
  <c r="D10" i="23"/>
  <c r="E136" i="23"/>
  <c r="G11" i="23" s="1"/>
  <c r="D11" i="23"/>
  <c r="AF9" i="23"/>
  <c r="AG72" i="23"/>
  <c r="AI9" i="23" s="1"/>
  <c r="D14" i="23"/>
  <c r="E188" i="23"/>
  <c r="G14" i="23" s="1"/>
  <c r="D18" i="23"/>
  <c r="E267" i="23"/>
  <c r="G18" i="23" s="1"/>
  <c r="AG228" i="23"/>
  <c r="AI21" i="23" s="1"/>
  <c r="AF21" i="23"/>
  <c r="AG252" i="23"/>
  <c r="AI19" i="23" s="1"/>
  <c r="AF19" i="23"/>
  <c r="H9" i="23"/>
  <c r="J110" i="23"/>
  <c r="K9" i="23" s="1"/>
  <c r="AN10" i="23"/>
  <c r="AQ136" i="23"/>
  <c r="AQ10" i="23" s="1"/>
  <c r="AL175" i="23"/>
  <c r="AM13" i="23" s="1"/>
  <c r="AJ13" i="23"/>
  <c r="AF17" i="23"/>
  <c r="AG201" i="23"/>
  <c r="AI17" i="23" s="1"/>
  <c r="AV17" i="23"/>
  <c r="BA201" i="23"/>
  <c r="AY17" i="23" s="1"/>
  <c r="T47" i="23"/>
  <c r="T48" i="23" s="1"/>
  <c r="BA109" i="23"/>
  <c r="AL109" i="23"/>
  <c r="T83" i="23"/>
  <c r="AV148" i="23"/>
  <c r="BA47" i="23"/>
  <c r="T187" i="23"/>
  <c r="T266" i="23"/>
  <c r="Y266" i="23"/>
  <c r="AL239" i="23"/>
  <c r="AQ239" i="23"/>
  <c r="AQ251" i="23"/>
  <c r="AV227" i="23"/>
  <c r="H13" i="23"/>
  <c r="J175" i="23"/>
  <c r="K13" i="23" s="1"/>
  <c r="AR10" i="23"/>
  <c r="AV136" i="23"/>
  <c r="AU10" i="23" s="1"/>
  <c r="AN13" i="23"/>
  <c r="AQ175" i="23"/>
  <c r="AQ13" i="23" s="1"/>
  <c r="AL201" i="23"/>
  <c r="AM17" i="23" s="1"/>
  <c r="AJ17" i="23"/>
  <c r="Y47" i="23"/>
  <c r="Y48" i="23" s="1"/>
  <c r="AV47" i="23"/>
  <c r="AQ109" i="23"/>
  <c r="Y83" i="23"/>
  <c r="AV59" i="23"/>
  <c r="AV109" i="23"/>
  <c r="Y187" i="23"/>
  <c r="Y227" i="23"/>
  <c r="T253" i="23"/>
  <c r="AV239" i="23"/>
  <c r="AQ227" i="23"/>
  <c r="BA227" i="23"/>
  <c r="E162" i="23"/>
  <c r="G12" i="23" s="1"/>
  <c r="D12" i="23"/>
  <c r="AG214" i="23"/>
  <c r="AI16" i="23" s="1"/>
  <c r="AF16" i="23"/>
  <c r="T110" i="23"/>
  <c r="S9" i="23" s="1"/>
  <c r="P9" i="23"/>
  <c r="D13" i="23"/>
  <c r="E175" i="23"/>
  <c r="G13" i="23" s="1"/>
  <c r="O175" i="23"/>
  <c r="O13" i="23" s="1"/>
  <c r="L13" i="23"/>
  <c r="AF10" i="23"/>
  <c r="AG136" i="23"/>
  <c r="AI10" i="23" s="1"/>
  <c r="AV10" i="23"/>
  <c r="BA136" i="23"/>
  <c r="AY10" i="23" s="1"/>
  <c r="AR13" i="23"/>
  <c r="AV175" i="23"/>
  <c r="AU13" i="23" s="1"/>
  <c r="AN17" i="23"/>
  <c r="AQ201" i="23"/>
  <c r="AQ17" i="23" s="1"/>
  <c r="T35" i="23"/>
  <c r="Y59" i="23"/>
  <c r="T71" i="23"/>
  <c r="BA35" i="23"/>
  <c r="AQ59" i="23"/>
  <c r="AQ148" i="23"/>
  <c r="T240" i="23"/>
  <c r="Y240" i="23"/>
  <c r="Y253" i="23"/>
  <c r="AL251" i="23"/>
  <c r="AV251" i="23"/>
  <c r="I16" i="18"/>
  <c r="I14" i="16" s="1"/>
  <c r="I5" i="18"/>
  <c r="I3" i="16" s="1"/>
  <c r="I15" i="18"/>
  <c r="I13" i="16" s="1"/>
  <c r="G14" i="18"/>
  <c r="J14" i="18"/>
  <c r="G10" i="18"/>
  <c r="J10" i="18"/>
  <c r="G17" i="18"/>
  <c r="J17" i="18"/>
  <c r="AC21" i="1"/>
  <c r="X21" i="1"/>
  <c r="F6" i="9"/>
  <c r="F7" i="9"/>
  <c r="S35" i="13"/>
  <c r="V48" i="13" s="1"/>
  <c r="V53" i="13"/>
  <c r="E7" i="9"/>
  <c r="E6" i="9"/>
  <c r="T26" i="5"/>
  <c r="AC23" i="1"/>
  <c r="AC22" i="1"/>
  <c r="I10" i="1"/>
  <c r="I14" i="1" s="1"/>
  <c r="I16" i="1" s="1"/>
  <c r="M17" i="1"/>
  <c r="T53" i="11"/>
  <c r="S26" i="10"/>
  <c r="W23" i="10" s="1"/>
  <c r="T52" i="11"/>
  <c r="W50" i="11" s="1"/>
  <c r="W52" i="11" s="1"/>
  <c r="S53" i="10"/>
  <c r="S26" i="5"/>
  <c r="W23" i="5" s="1"/>
  <c r="T26" i="10"/>
  <c r="D5" i="9"/>
  <c r="D4" i="9"/>
  <c r="S52" i="10"/>
  <c r="V50" i="10" s="1"/>
  <c r="C5" i="9"/>
  <c r="C4" i="9"/>
  <c r="S53" i="5"/>
  <c r="V51" i="5" s="1"/>
  <c r="B31" i="3"/>
  <c r="B32" i="3" s="1"/>
  <c r="I15" i="1"/>
  <c r="I17" i="1" s="1"/>
  <c r="I21" i="1" s="1"/>
  <c r="T26" i="11"/>
  <c r="X21" i="11" s="1"/>
  <c r="S54" i="5"/>
  <c r="Y26" i="1"/>
  <c r="Y27" i="1" s="1"/>
  <c r="Y31" i="1" s="1"/>
  <c r="AD24" i="1"/>
  <c r="AD25" i="1" s="1"/>
  <c r="U26" i="11"/>
  <c r="B4" i="29" l="1"/>
  <c r="B8" i="29"/>
  <c r="C16" i="29" s="1"/>
  <c r="B5" i="29"/>
  <c r="C13" i="29" s="1"/>
  <c r="B3" i="29"/>
  <c r="C11" i="29" s="1"/>
  <c r="I3" i="29"/>
  <c r="J11" i="29" s="1"/>
  <c r="I4" i="29"/>
  <c r="J12" i="29" s="1"/>
  <c r="C12" i="29"/>
  <c r="G26" i="2"/>
  <c r="I37" i="2" s="1"/>
  <c r="L11" i="3" s="1"/>
  <c r="I5" i="29"/>
  <c r="J13" i="29" s="1"/>
  <c r="B6" i="29"/>
  <c r="J31" i="16"/>
  <c r="L31" i="16"/>
  <c r="M97" i="23"/>
  <c r="N8" i="23"/>
  <c r="AJ5" i="23"/>
  <c r="AL48" i="23"/>
  <c r="AM5" i="23" s="1"/>
  <c r="AJ21" i="23"/>
  <c r="AL228" i="23"/>
  <c r="AM21" i="23" s="1"/>
  <c r="G15" i="16"/>
  <c r="AY238" i="23"/>
  <c r="AT238" i="23"/>
  <c r="AO238" i="23"/>
  <c r="AJ238" i="23"/>
  <c r="AY226" i="23"/>
  <c r="AT226" i="23"/>
  <c r="AO226" i="23"/>
  <c r="AJ226" i="23"/>
  <c r="AY250" i="23"/>
  <c r="AT250" i="23"/>
  <c r="AJ250" i="23"/>
  <c r="AO250" i="23"/>
  <c r="AY147" i="23"/>
  <c r="AT147" i="23"/>
  <c r="AO147" i="23"/>
  <c r="AJ147" i="23"/>
  <c r="AY46" i="23"/>
  <c r="AT46" i="23"/>
  <c r="AO46" i="23"/>
  <c r="AJ46" i="23"/>
  <c r="AY108" i="23"/>
  <c r="AT108" i="23"/>
  <c r="AO108" i="23"/>
  <c r="AJ108" i="23"/>
  <c r="AY34" i="23"/>
  <c r="AT34" i="23"/>
  <c r="AO34" i="23"/>
  <c r="AJ34" i="23"/>
  <c r="W265" i="23"/>
  <c r="R265" i="23"/>
  <c r="M265" i="23"/>
  <c r="H265" i="23"/>
  <c r="W239" i="23"/>
  <c r="R239" i="23"/>
  <c r="M239" i="23"/>
  <c r="H239" i="23"/>
  <c r="W226" i="23"/>
  <c r="R226" i="23"/>
  <c r="M226" i="23"/>
  <c r="H226" i="23"/>
  <c r="W186" i="23"/>
  <c r="R186" i="23"/>
  <c r="M186" i="23"/>
  <c r="H186" i="23"/>
  <c r="AO58" i="23"/>
  <c r="W252" i="23"/>
  <c r="AY58" i="23"/>
  <c r="AT58" i="23"/>
  <c r="H252" i="23"/>
  <c r="M252" i="23"/>
  <c r="AJ58" i="23"/>
  <c r="R252" i="23"/>
  <c r="M82" i="23"/>
  <c r="W82" i="23"/>
  <c r="R82" i="23"/>
  <c r="H82" i="23"/>
  <c r="M70" i="23"/>
  <c r="W70" i="23"/>
  <c r="R70" i="23"/>
  <c r="H70" i="23"/>
  <c r="R46" i="23"/>
  <c r="H46" i="23"/>
  <c r="R34" i="23"/>
  <c r="W46" i="23"/>
  <c r="M46" i="23"/>
  <c r="H34" i="23"/>
  <c r="W34" i="23"/>
  <c r="M34" i="23"/>
  <c r="Y254" i="23"/>
  <c r="W17" i="23" s="1"/>
  <c r="T17" i="23"/>
  <c r="AN4" i="23"/>
  <c r="AQ60" i="23"/>
  <c r="AQ4" i="23" s="1"/>
  <c r="T36" i="23"/>
  <c r="S4" i="23" s="1"/>
  <c r="P4" i="23"/>
  <c r="AN21" i="23"/>
  <c r="AQ228" i="23"/>
  <c r="AQ21" i="23" s="1"/>
  <c r="Y188" i="23"/>
  <c r="W14" i="23" s="1"/>
  <c r="T14" i="23"/>
  <c r="AN12" i="23"/>
  <c r="AQ110" i="23"/>
  <c r="AQ12" i="23" s="1"/>
  <c r="AN19" i="23"/>
  <c r="AQ252" i="23"/>
  <c r="AQ19" i="23" s="1"/>
  <c r="T267" i="23"/>
  <c r="S18" i="23" s="1"/>
  <c r="P18" i="23"/>
  <c r="T84" i="23"/>
  <c r="S7" i="23" s="1"/>
  <c r="P7" i="23"/>
  <c r="H11" i="23"/>
  <c r="J136" i="23"/>
  <c r="K11" i="23" s="1"/>
  <c r="AJ11" i="23"/>
  <c r="AL123" i="23"/>
  <c r="AM11" i="23" s="1"/>
  <c r="AJ14" i="23"/>
  <c r="AL162" i="23"/>
  <c r="AM14" i="23" s="1"/>
  <c r="AJ18" i="23"/>
  <c r="AL189" i="23"/>
  <c r="AM18" i="23" s="1"/>
  <c r="R59" i="23"/>
  <c r="R60" i="23" s="1"/>
  <c r="R5" i="23" s="1"/>
  <c r="R71" i="23"/>
  <c r="R72" i="23" s="1"/>
  <c r="R6" i="23" s="1"/>
  <c r="AY47" i="23"/>
  <c r="AY48" i="23" s="1"/>
  <c r="AX5" i="23" s="1"/>
  <c r="R187" i="23"/>
  <c r="R188" i="23" s="1"/>
  <c r="R14" i="23" s="1"/>
  <c r="W240" i="23"/>
  <c r="W241" i="23" s="1"/>
  <c r="V16" i="23" s="1"/>
  <c r="R240" i="23"/>
  <c r="R241" i="23" s="1"/>
  <c r="R16" i="23" s="1"/>
  <c r="R253" i="23"/>
  <c r="R254" i="23" s="1"/>
  <c r="R17" i="23" s="1"/>
  <c r="AT239" i="23"/>
  <c r="AT240" i="23" s="1"/>
  <c r="AT20" i="23" s="1"/>
  <c r="AY251" i="23"/>
  <c r="AY252" i="23" s="1"/>
  <c r="AX19" i="23" s="1"/>
  <c r="AV19" i="23"/>
  <c r="BA252" i="23"/>
  <c r="AY19" i="23" s="1"/>
  <c r="T228" i="23"/>
  <c r="S15" i="23" s="1"/>
  <c r="P15" i="23"/>
  <c r="Y72" i="23"/>
  <c r="W6" i="23" s="1"/>
  <c r="T6" i="23"/>
  <c r="O47" i="23"/>
  <c r="O48" i="23" s="1"/>
  <c r="O60" i="23"/>
  <c r="O5" i="23" s="1"/>
  <c r="L5" i="23"/>
  <c r="J227" i="23"/>
  <c r="J71" i="23"/>
  <c r="J240" i="23"/>
  <c r="O253" i="23"/>
  <c r="O227" i="23"/>
  <c r="AV6" i="23"/>
  <c r="BA36" i="23"/>
  <c r="AY6" i="23" s="1"/>
  <c r="AR5" i="23"/>
  <c r="AV48" i="23"/>
  <c r="AU5" i="23" s="1"/>
  <c r="AJ12" i="23"/>
  <c r="AL110" i="23"/>
  <c r="AM12" i="23" s="1"/>
  <c r="F4" i="23"/>
  <c r="J123" i="23"/>
  <c r="K10" i="23" s="1"/>
  <c r="H10" i="23"/>
  <c r="AJ9" i="23"/>
  <c r="AL72" i="23"/>
  <c r="AM9" i="23" s="1"/>
  <c r="AL84" i="23"/>
  <c r="AM8" i="23" s="1"/>
  <c r="AJ8" i="23"/>
  <c r="R35" i="23"/>
  <c r="R36" i="23" s="1"/>
  <c r="R4" i="23" s="1"/>
  <c r="R47" i="23"/>
  <c r="R48" i="23" s="1"/>
  <c r="AY109" i="23"/>
  <c r="AY110" i="23" s="1"/>
  <c r="AX12" i="23" s="1"/>
  <c r="AT47" i="23"/>
  <c r="AT48" i="23" s="1"/>
  <c r="AT5" i="23" s="1"/>
  <c r="AT148" i="23"/>
  <c r="AT149" i="23" s="1"/>
  <c r="AT15" i="23" s="1"/>
  <c r="AY148" i="23"/>
  <c r="AY149" i="23" s="1"/>
  <c r="AX15" i="23" s="1"/>
  <c r="AY35" i="23"/>
  <c r="AY36" i="23" s="1"/>
  <c r="AX6" i="23" s="1"/>
  <c r="W187" i="23"/>
  <c r="W188" i="23" s="1"/>
  <c r="V14" i="23" s="1"/>
  <c r="AY239" i="23"/>
  <c r="AY240" i="23" s="1"/>
  <c r="AX20" i="23" s="1"/>
  <c r="W253" i="23"/>
  <c r="W254" i="23" s="1"/>
  <c r="V17" i="23" s="1"/>
  <c r="AY227" i="23"/>
  <c r="AY228" i="23" s="1"/>
  <c r="AX21" i="23" s="1"/>
  <c r="AV15" i="23"/>
  <c r="BA149" i="23"/>
  <c r="AY15" i="23" s="1"/>
  <c r="P5" i="23"/>
  <c r="T60" i="23"/>
  <c r="S5" i="23" s="1"/>
  <c r="F33" i="16"/>
  <c r="D33" i="16"/>
  <c r="H5" i="23"/>
  <c r="J60" i="23"/>
  <c r="K5" i="23" s="1"/>
  <c r="J253" i="23"/>
  <c r="J266" i="23"/>
  <c r="O71" i="23"/>
  <c r="AL35" i="23"/>
  <c r="AQ47" i="23"/>
  <c r="L25" i="16"/>
  <c r="H25" i="16"/>
  <c r="J25" i="16"/>
  <c r="L10" i="18"/>
  <c r="L8" i="16" s="1"/>
  <c r="J8" i="16"/>
  <c r="AR19" i="23"/>
  <c r="AV252" i="23"/>
  <c r="AU19" i="23" s="1"/>
  <c r="AR12" i="23"/>
  <c r="AV110" i="23"/>
  <c r="AU12" i="23" s="1"/>
  <c r="AN20" i="23"/>
  <c r="AQ240" i="23"/>
  <c r="AQ20" i="23" s="1"/>
  <c r="G8" i="16"/>
  <c r="AO222" i="23"/>
  <c r="AO227" i="23" s="1"/>
  <c r="AO228" i="23" s="1"/>
  <c r="AP21" i="23" s="1"/>
  <c r="AJ246" i="23"/>
  <c r="AO246" i="23"/>
  <c r="AO251" i="23" s="1"/>
  <c r="AO252" i="23" s="1"/>
  <c r="AP19" i="23" s="1"/>
  <c r="AJ222" i="23"/>
  <c r="AO234" i="23"/>
  <c r="AJ234" i="23"/>
  <c r="AO143" i="23"/>
  <c r="AO148" i="23" s="1"/>
  <c r="AO149" i="23" s="1"/>
  <c r="AP15" i="23" s="1"/>
  <c r="M261" i="23"/>
  <c r="M266" i="23" s="1"/>
  <c r="M267" i="23" s="1"/>
  <c r="N18" i="23" s="1"/>
  <c r="M222" i="23"/>
  <c r="M227" i="23" s="1"/>
  <c r="M228" i="23" s="1"/>
  <c r="N15" i="23" s="1"/>
  <c r="AJ143" i="23"/>
  <c r="AO104" i="23"/>
  <c r="AJ42" i="23"/>
  <c r="M182" i="23"/>
  <c r="M187" i="23" s="1"/>
  <c r="M188" i="23" s="1"/>
  <c r="N14" i="23" s="1"/>
  <c r="AJ104" i="23"/>
  <c r="H222" i="23"/>
  <c r="H248" i="23"/>
  <c r="AO30" i="23"/>
  <c r="AO35" i="23" s="1"/>
  <c r="AO36" i="23" s="1"/>
  <c r="AP6" i="23" s="1"/>
  <c r="M78" i="23"/>
  <c r="M83" i="23" s="1"/>
  <c r="M84" i="23" s="1"/>
  <c r="N7" i="23" s="1"/>
  <c r="H78" i="23"/>
  <c r="AO54" i="23"/>
  <c r="AO59" i="23" s="1"/>
  <c r="AO60" i="23" s="1"/>
  <c r="AP4" i="23" s="1"/>
  <c r="AJ54" i="23"/>
  <c r="AJ30" i="23"/>
  <c r="M248" i="23"/>
  <c r="M253" i="23" s="1"/>
  <c r="M254" i="23" s="1"/>
  <c r="N17" i="23" s="1"/>
  <c r="H182" i="23"/>
  <c r="H235" i="23"/>
  <c r="AO42" i="23"/>
  <c r="AO47" i="23" s="1"/>
  <c r="AO48" i="23" s="1"/>
  <c r="AP5" i="23" s="1"/>
  <c r="H261" i="23"/>
  <c r="M235" i="23"/>
  <c r="M240" i="23" s="1"/>
  <c r="M241" i="23" s="1"/>
  <c r="N16" i="23" s="1"/>
  <c r="H66" i="23"/>
  <c r="M66" i="23"/>
  <c r="M71" i="23" s="1"/>
  <c r="M72" i="23" s="1"/>
  <c r="N6" i="23" s="1"/>
  <c r="H30" i="23"/>
  <c r="H54" i="23"/>
  <c r="H59" i="23" s="1"/>
  <c r="H60" i="23" s="1"/>
  <c r="J5" i="23" s="1"/>
  <c r="M42" i="23"/>
  <c r="M47" i="23" s="1"/>
  <c r="M48" i="23" s="1"/>
  <c r="H42" i="23"/>
  <c r="M30" i="23"/>
  <c r="M35" i="23" s="1"/>
  <c r="M36" i="23" s="1"/>
  <c r="M54" i="23"/>
  <c r="M59" i="23" s="1"/>
  <c r="M60" i="23" s="1"/>
  <c r="N5" i="23" s="1"/>
  <c r="AJ19" i="23"/>
  <c r="AL252" i="23"/>
  <c r="AM19" i="23" s="1"/>
  <c r="P16" i="23"/>
  <c r="T241" i="23"/>
  <c r="S16" i="23" s="1"/>
  <c r="P6" i="23"/>
  <c r="T72" i="23"/>
  <c r="S6" i="23" s="1"/>
  <c r="P17" i="23"/>
  <c r="T254" i="23"/>
  <c r="S17" i="23" s="1"/>
  <c r="AV60" i="23"/>
  <c r="AU4" i="23" s="1"/>
  <c r="AR4" i="23"/>
  <c r="AJ20" i="23"/>
  <c r="AL240" i="23"/>
  <c r="AM20" i="23" s="1"/>
  <c r="AV5" i="23"/>
  <c r="BA48" i="23"/>
  <c r="AY5" i="23" s="1"/>
  <c r="AV12" i="23"/>
  <c r="BA110" i="23"/>
  <c r="AY12" i="23" s="1"/>
  <c r="AJ16" i="23"/>
  <c r="AL214" i="23"/>
  <c r="AM16" i="23" s="1"/>
  <c r="W35" i="23"/>
  <c r="W36" i="23" s="1"/>
  <c r="V4" i="23" s="1"/>
  <c r="W59" i="23"/>
  <c r="W60" i="23" s="1"/>
  <c r="V5" i="23" s="1"/>
  <c r="R83" i="23"/>
  <c r="R84" i="23" s="1"/>
  <c r="R7" i="23" s="1"/>
  <c r="AT35" i="23"/>
  <c r="AT36" i="23" s="1"/>
  <c r="AT6" i="23" s="1"/>
  <c r="R266" i="23"/>
  <c r="R267" i="23" s="1"/>
  <c r="R18" i="23" s="1"/>
  <c r="W266" i="23"/>
  <c r="W267" i="23" s="1"/>
  <c r="V18" i="23" s="1"/>
  <c r="AY59" i="23"/>
  <c r="AY60" i="23" s="1"/>
  <c r="AX4" i="23" s="1"/>
  <c r="AT227" i="23"/>
  <c r="AT228" i="23" s="1"/>
  <c r="AT21" i="23" s="1"/>
  <c r="AV20" i="23"/>
  <c r="BA240" i="23"/>
  <c r="AY20" i="23" s="1"/>
  <c r="AV36" i="23"/>
  <c r="AU6" i="23" s="1"/>
  <c r="AR6" i="23"/>
  <c r="T4" i="23"/>
  <c r="Y36" i="23"/>
  <c r="W4" i="23" s="1"/>
  <c r="J35" i="23"/>
  <c r="O83" i="23"/>
  <c r="O240" i="23"/>
  <c r="AQ35" i="23"/>
  <c r="AL59" i="23"/>
  <c r="G12" i="16"/>
  <c r="AJ236" i="23"/>
  <c r="AJ210" i="23"/>
  <c r="AJ213" i="23" s="1"/>
  <c r="AJ214" i="23" s="1"/>
  <c r="AL16" i="23" s="1"/>
  <c r="AJ185" i="23"/>
  <c r="AJ188" i="23" s="1"/>
  <c r="AJ189" i="23" s="1"/>
  <c r="AL18" i="23" s="1"/>
  <c r="AJ224" i="23"/>
  <c r="AJ248" i="23"/>
  <c r="AJ145" i="23"/>
  <c r="AJ158" i="23"/>
  <c r="AJ161" i="23" s="1"/>
  <c r="AJ162" i="23" s="1"/>
  <c r="AL14" i="23" s="1"/>
  <c r="AJ44" i="23"/>
  <c r="AJ106" i="23"/>
  <c r="AJ109" i="23" s="1"/>
  <c r="AJ110" i="23" s="1"/>
  <c r="AL12" i="23" s="1"/>
  <c r="AJ80" i="23"/>
  <c r="AJ83" i="23" s="1"/>
  <c r="AJ84" i="23" s="1"/>
  <c r="AL8" i="23" s="1"/>
  <c r="AJ68" i="23"/>
  <c r="AJ71" i="23" s="1"/>
  <c r="AJ72" i="23" s="1"/>
  <c r="AL9" i="23" s="1"/>
  <c r="AJ32" i="23"/>
  <c r="H263" i="23"/>
  <c r="AJ93" i="23"/>
  <c r="AJ96" i="23" s="1"/>
  <c r="AJ97" i="23" s="1"/>
  <c r="AL7" i="23" s="1"/>
  <c r="H237" i="23"/>
  <c r="H224" i="23"/>
  <c r="H210" i="23"/>
  <c r="H213" i="23" s="1"/>
  <c r="H214" i="23" s="1"/>
  <c r="AJ119" i="23"/>
  <c r="AJ122" i="23" s="1"/>
  <c r="AJ123" i="23" s="1"/>
  <c r="AL11" i="23" s="1"/>
  <c r="H184" i="23"/>
  <c r="H250" i="23"/>
  <c r="H158" i="23"/>
  <c r="H161" i="23" s="1"/>
  <c r="H162" i="23" s="1"/>
  <c r="J12" i="23" s="1"/>
  <c r="H145" i="23"/>
  <c r="H148" i="23" s="1"/>
  <c r="H149" i="23" s="1"/>
  <c r="AJ56" i="23"/>
  <c r="H132" i="23"/>
  <c r="H135" i="23" s="1"/>
  <c r="H136" i="23" s="1"/>
  <c r="J11" i="23" s="1"/>
  <c r="H93" i="23"/>
  <c r="H96" i="23" s="1"/>
  <c r="H97" i="23" s="1"/>
  <c r="J8" i="23" s="1"/>
  <c r="H80" i="23"/>
  <c r="H119" i="23"/>
  <c r="H122" i="23" s="1"/>
  <c r="H123" i="23" s="1"/>
  <c r="J10" i="23" s="1"/>
  <c r="H68" i="23"/>
  <c r="H44" i="23"/>
  <c r="H32" i="23"/>
  <c r="Y241" i="23"/>
  <c r="W16" i="23" s="1"/>
  <c r="T16" i="23"/>
  <c r="AR20" i="23"/>
  <c r="AV240" i="23"/>
  <c r="AU20" i="23" s="1"/>
  <c r="T188" i="23"/>
  <c r="S14" i="23" s="1"/>
  <c r="P14" i="23"/>
  <c r="L17" i="18"/>
  <c r="L15" i="16" s="1"/>
  <c r="J15" i="16"/>
  <c r="L14" i="18"/>
  <c r="L12" i="16" s="1"/>
  <c r="H32" i="16" s="1"/>
  <c r="J12" i="16"/>
  <c r="AJ15" i="23"/>
  <c r="AL149" i="23"/>
  <c r="AM15" i="23" s="1"/>
  <c r="AQ149" i="23"/>
  <c r="AQ15" i="23" s="1"/>
  <c r="AN15" i="23"/>
  <c r="T5" i="23"/>
  <c r="Y60" i="23"/>
  <c r="W5" i="23" s="1"/>
  <c r="AV21" i="23"/>
  <c r="BA228" i="23"/>
  <c r="AY21" i="23" s="1"/>
  <c r="Y228" i="23"/>
  <c r="W15" i="23" s="1"/>
  <c r="T15" i="23"/>
  <c r="T7" i="23"/>
  <c r="Y84" i="23"/>
  <c r="W7" i="23" s="1"/>
  <c r="AR21" i="23"/>
  <c r="AV228" i="23"/>
  <c r="AU21" i="23" s="1"/>
  <c r="Y267" i="23"/>
  <c r="W18" i="23" s="1"/>
  <c r="T18" i="23"/>
  <c r="AR15" i="23"/>
  <c r="AV149" i="23"/>
  <c r="AU15" i="23" s="1"/>
  <c r="H8" i="23"/>
  <c r="J97" i="23"/>
  <c r="K8" i="23" s="1"/>
  <c r="H12" i="23"/>
  <c r="J162" i="23"/>
  <c r="K12" i="23" s="1"/>
  <c r="AL97" i="23"/>
  <c r="AM7" i="23" s="1"/>
  <c r="AJ7" i="23"/>
  <c r="W47" i="23"/>
  <c r="W48" i="23" s="1"/>
  <c r="W71" i="23"/>
  <c r="W72" i="23" s="1"/>
  <c r="V6" i="23" s="1"/>
  <c r="AO109" i="23"/>
  <c r="AO110" i="23" s="1"/>
  <c r="AP12" i="23" s="1"/>
  <c r="W83" i="23"/>
  <c r="W84" i="23" s="1"/>
  <c r="V7" i="23" s="1"/>
  <c r="AT109" i="23"/>
  <c r="AT110" i="23" s="1"/>
  <c r="AT12" i="23" s="1"/>
  <c r="AT59" i="23"/>
  <c r="AT60" i="23" s="1"/>
  <c r="AT4" i="23" s="1"/>
  <c r="W227" i="23"/>
  <c r="W228" i="23" s="1"/>
  <c r="V15" i="23" s="1"/>
  <c r="R227" i="23"/>
  <c r="R228" i="23" s="1"/>
  <c r="R15" i="23" s="1"/>
  <c r="AO239" i="23"/>
  <c r="AO240" i="23" s="1"/>
  <c r="AP20" i="23" s="1"/>
  <c r="AJ239" i="23"/>
  <c r="AJ240" i="23" s="1"/>
  <c r="AL20" i="23" s="1"/>
  <c r="AT251" i="23"/>
  <c r="AT252" i="23" s="1"/>
  <c r="AT19" i="23" s="1"/>
  <c r="AV4" i="23"/>
  <c r="BA60" i="23"/>
  <c r="AY4" i="23" s="1"/>
  <c r="G4" i="23"/>
  <c r="F34" i="16"/>
  <c r="L34" i="16"/>
  <c r="H34" i="16"/>
  <c r="J34" i="16"/>
  <c r="J47" i="23"/>
  <c r="J48" i="23" s="1"/>
  <c r="O35" i="23"/>
  <c r="J83" i="23"/>
  <c r="O266" i="23"/>
  <c r="J187" i="23"/>
  <c r="O187" i="23"/>
  <c r="I17" i="18"/>
  <c r="I15" i="16" s="1"/>
  <c r="I14" i="18"/>
  <c r="I12" i="16" s="1"/>
  <c r="I10" i="18"/>
  <c r="I8" i="16" s="1"/>
  <c r="S35" i="5"/>
  <c r="V48" i="5" s="1"/>
  <c r="F4" i="9"/>
  <c r="W25" i="5"/>
  <c r="E8" i="9"/>
  <c r="W20" i="13"/>
  <c r="F5" i="9"/>
  <c r="F3" i="9"/>
  <c r="W25" i="10"/>
  <c r="X26" i="1"/>
  <c r="X27" i="1" s="1"/>
  <c r="X31" i="1" s="1"/>
  <c r="D47" i="3" s="1"/>
  <c r="AC24" i="1"/>
  <c r="T35" i="11"/>
  <c r="X18" i="11" s="1"/>
  <c r="G8" i="9" s="1"/>
  <c r="S34" i="10"/>
  <c r="F8" i="9"/>
  <c r="X23" i="11"/>
  <c r="Y34" i="1"/>
  <c r="F50" i="3" s="1"/>
  <c r="Y33" i="1"/>
  <c r="F49" i="3" s="1"/>
  <c r="Y35" i="1"/>
  <c r="F51" i="3" s="1"/>
  <c r="Y37" i="1"/>
  <c r="Y32" i="1"/>
  <c r="F48" i="3" s="1"/>
  <c r="F47" i="3"/>
  <c r="Y36" i="1"/>
  <c r="F52" i="3" s="1"/>
  <c r="AD37" i="1"/>
  <c r="AD36" i="1"/>
  <c r="E52" i="3" s="1"/>
  <c r="AD32" i="1"/>
  <c r="E48" i="3" s="1"/>
  <c r="AD34" i="1"/>
  <c r="E50" i="3" s="1"/>
  <c r="AD33" i="1"/>
  <c r="E49" i="3" s="1"/>
  <c r="AD31" i="1"/>
  <c r="E47" i="3" s="1"/>
  <c r="AD35" i="1"/>
  <c r="E51" i="3" s="1"/>
  <c r="V53" i="5"/>
  <c r="E5" i="9"/>
  <c r="E4" i="9"/>
  <c r="V52" i="10"/>
  <c r="E3" i="9"/>
  <c r="J37" i="2" l="1"/>
  <c r="M11" i="3" s="1"/>
  <c r="N11" i="3" s="1"/>
  <c r="C37" i="2"/>
  <c r="D37" i="2" s="1"/>
  <c r="C11" i="3" s="1"/>
  <c r="C21" i="3" s="1"/>
  <c r="I8" i="29"/>
  <c r="J16" i="29" s="1"/>
  <c r="G27" i="2"/>
  <c r="I38" i="2" s="1"/>
  <c r="J38" i="2" s="1"/>
  <c r="M12" i="3" s="1"/>
  <c r="N12" i="3" s="1"/>
  <c r="C14" i="29"/>
  <c r="I6" i="29"/>
  <c r="J14" i="29" s="1"/>
  <c r="C38" i="2"/>
  <c r="D38" i="2" s="1"/>
  <c r="C12" i="3" s="1"/>
  <c r="C22" i="3" s="1"/>
  <c r="N21" i="3"/>
  <c r="O11" i="3"/>
  <c r="AJ47" i="23"/>
  <c r="AJ48" i="23" s="1"/>
  <c r="AL5" i="23" s="1"/>
  <c r="L18" i="23"/>
  <c r="O267" i="23"/>
  <c r="O18" i="23" s="1"/>
  <c r="L7" i="23"/>
  <c r="O84" i="23"/>
  <c r="O7" i="23" s="1"/>
  <c r="N4" i="23"/>
  <c r="H35" i="23"/>
  <c r="H36" i="23" s="1"/>
  <c r="H266" i="23"/>
  <c r="H267" i="23" s="1"/>
  <c r="J18" i="23" s="1"/>
  <c r="H83" i="23"/>
  <c r="H84" i="23" s="1"/>
  <c r="J7" i="23" s="1"/>
  <c r="H227" i="23"/>
  <c r="H228" i="23" s="1"/>
  <c r="J15" i="23" s="1"/>
  <c r="AL36" i="23"/>
  <c r="AM6" i="23" s="1"/>
  <c r="AJ6" i="23"/>
  <c r="H16" i="23"/>
  <c r="J241" i="23"/>
  <c r="K16" i="23" s="1"/>
  <c r="H7" i="23"/>
  <c r="J84" i="23"/>
  <c r="K7" i="23" s="1"/>
  <c r="AL60" i="23"/>
  <c r="AM4" i="23" s="1"/>
  <c r="AJ4" i="23"/>
  <c r="J36" i="23"/>
  <c r="H4" i="23"/>
  <c r="H47" i="23"/>
  <c r="H48" i="23" s="1"/>
  <c r="AJ35" i="23"/>
  <c r="AJ36" i="23" s="1"/>
  <c r="AL6" i="23" s="1"/>
  <c r="AJ148" i="23"/>
  <c r="AJ149" i="23" s="1"/>
  <c r="AL15" i="23" s="1"/>
  <c r="AJ251" i="23"/>
  <c r="AJ252" i="23" s="1"/>
  <c r="AL19" i="23" s="1"/>
  <c r="O72" i="23"/>
  <c r="O6" i="23" s="1"/>
  <c r="L6" i="23"/>
  <c r="J72" i="23"/>
  <c r="K6" i="23" s="1"/>
  <c r="H6" i="23"/>
  <c r="L14" i="23"/>
  <c r="O188" i="23"/>
  <c r="O14" i="23" s="1"/>
  <c r="O36" i="23"/>
  <c r="L4" i="23"/>
  <c r="J35" i="16"/>
  <c r="L35" i="16"/>
  <c r="L43" i="16" s="1"/>
  <c r="F35" i="16"/>
  <c r="D35" i="16"/>
  <c r="D43" i="16" s="1"/>
  <c r="H35" i="16"/>
  <c r="H43" i="16" s="1"/>
  <c r="AQ36" i="23"/>
  <c r="AQ6" i="23" s="1"/>
  <c r="AN6" i="23"/>
  <c r="H71" i="23"/>
  <c r="H72" i="23" s="1"/>
  <c r="J6" i="23" s="1"/>
  <c r="H240" i="23"/>
  <c r="H241" i="23" s="1"/>
  <c r="J16" i="23" s="1"/>
  <c r="AJ59" i="23"/>
  <c r="AJ60" i="23" s="1"/>
  <c r="AL4" i="23" s="1"/>
  <c r="H18" i="23"/>
  <c r="J267" i="23"/>
  <c r="K18" i="23" s="1"/>
  <c r="L15" i="23"/>
  <c r="O228" i="23"/>
  <c r="O15" i="23" s="1"/>
  <c r="H15" i="23"/>
  <c r="J228" i="23"/>
  <c r="K15" i="23" s="1"/>
  <c r="J188" i="23"/>
  <c r="K14" i="23" s="1"/>
  <c r="H14" i="23"/>
  <c r="O241" i="23"/>
  <c r="O16" i="23" s="1"/>
  <c r="L16" i="23"/>
  <c r="H187" i="23"/>
  <c r="H188" i="23" s="1"/>
  <c r="J14" i="23" s="1"/>
  <c r="H253" i="23"/>
  <c r="H254" i="23" s="1"/>
  <c r="J17" i="23" s="1"/>
  <c r="AJ227" i="23"/>
  <c r="AJ228" i="23" s="1"/>
  <c r="AL21" i="23" s="1"/>
  <c r="H28" i="16"/>
  <c r="F29" i="16"/>
  <c r="J28" i="16"/>
  <c r="D29" i="16"/>
  <c r="AN5" i="23"/>
  <c r="AQ48" i="23"/>
  <c r="AQ5" i="23" s="1"/>
  <c r="J254" i="23"/>
  <c r="K17" i="23" s="1"/>
  <c r="H17" i="23"/>
  <c r="O254" i="23"/>
  <c r="O17" i="23" s="1"/>
  <c r="L17" i="23"/>
  <c r="W20" i="5"/>
  <c r="G5" i="9" s="1"/>
  <c r="W47" i="11"/>
  <c r="H8" i="9" s="1"/>
  <c r="AC25" i="1"/>
  <c r="AC31" i="1" s="1"/>
  <c r="X35" i="1"/>
  <c r="D51" i="3" s="1"/>
  <c r="X37" i="1"/>
  <c r="X33" i="1"/>
  <c r="D49" i="3" s="1"/>
  <c r="X36" i="1"/>
  <c r="D52" i="3" s="1"/>
  <c r="X34" i="1"/>
  <c r="D50" i="3" s="1"/>
  <c r="X32" i="1"/>
  <c r="D48" i="3" s="1"/>
  <c r="V47" i="10"/>
  <c r="H3" i="9" s="1"/>
  <c r="W20" i="10"/>
  <c r="G3" i="9" s="1"/>
  <c r="D11" i="3"/>
  <c r="D21" i="3" s="1"/>
  <c r="B47" i="3" s="1"/>
  <c r="H7" i="9"/>
  <c r="H6" i="9"/>
  <c r="H5" i="9"/>
  <c r="H4" i="9"/>
  <c r="T3" i="9"/>
  <c r="G28" i="2" l="1"/>
  <c r="I39" i="2" s="1"/>
  <c r="L13" i="3" s="1"/>
  <c r="L12" i="3"/>
  <c r="B11" i="3"/>
  <c r="B21" i="3" s="1"/>
  <c r="J39" i="2"/>
  <c r="M13" i="3" s="1"/>
  <c r="N13" i="3" s="1"/>
  <c r="O13" i="3" s="1"/>
  <c r="C39" i="2"/>
  <c r="D39" i="2" s="1"/>
  <c r="C3" i="29"/>
  <c r="G29" i="2"/>
  <c r="I40" i="2" s="1"/>
  <c r="L14" i="3" s="1"/>
  <c r="B12" i="3"/>
  <c r="B22" i="3" s="1"/>
  <c r="C4" i="29" s="1"/>
  <c r="E4" i="29" s="1"/>
  <c r="O12" i="3"/>
  <c r="N22" i="3"/>
  <c r="J43" i="16"/>
  <c r="H56" i="16" s="1"/>
  <c r="F43" i="16"/>
  <c r="F44" i="16" s="1"/>
  <c r="H44" i="16"/>
  <c r="F55" i="16" s="1"/>
  <c r="H55" i="16"/>
  <c r="N55" i="16" s="1"/>
  <c r="H54" i="16"/>
  <c r="C19" i="28" s="1"/>
  <c r="E19" i="28" s="1"/>
  <c r="D44" i="16"/>
  <c r="L44" i="16"/>
  <c r="H58" i="16"/>
  <c r="G58" i="16" s="1"/>
  <c r="K4" i="23"/>
  <c r="J4" i="23"/>
  <c r="O4" i="23"/>
  <c r="G7" i="9"/>
  <c r="G6" i="9"/>
  <c r="G4" i="9"/>
  <c r="C47" i="3"/>
  <c r="AC34" i="1"/>
  <c r="C50" i="3" s="1"/>
  <c r="AC32" i="1"/>
  <c r="C48" i="3" s="1"/>
  <c r="AC37" i="1"/>
  <c r="AC35" i="1"/>
  <c r="C51" i="3" s="1"/>
  <c r="AC33" i="1"/>
  <c r="C49" i="3" s="1"/>
  <c r="AC36" i="1"/>
  <c r="C52" i="3" s="1"/>
  <c r="D12" i="3"/>
  <c r="T4" i="9"/>
  <c r="B13" i="3"/>
  <c r="B23" i="3" s="1"/>
  <c r="C5" i="29" s="1"/>
  <c r="C13" i="3"/>
  <c r="C23" i="3" s="1"/>
  <c r="E11" i="3"/>
  <c r="G30" i="2" l="1"/>
  <c r="I41" i="2" s="1"/>
  <c r="C40" i="2"/>
  <c r="D40" i="2" s="1"/>
  <c r="J40" i="2"/>
  <c r="M14" i="3" s="1"/>
  <c r="N14" i="3" s="1"/>
  <c r="N23" i="3"/>
  <c r="J5" i="29"/>
  <c r="L5" i="29" s="1"/>
  <c r="E5" i="29"/>
  <c r="J4" i="29"/>
  <c r="L4" i="29" s="1"/>
  <c r="J3" i="29"/>
  <c r="L3" i="29" s="1"/>
  <c r="E3" i="29"/>
  <c r="O14" i="3"/>
  <c r="N24" i="3"/>
  <c r="J41" i="2"/>
  <c r="M15" i="3" s="1"/>
  <c r="N15" i="3" s="1"/>
  <c r="L15" i="3"/>
  <c r="H57" i="16"/>
  <c r="G57" i="16" s="1"/>
  <c r="J44" i="16"/>
  <c r="H53" i="16"/>
  <c r="G53" i="16" s="1"/>
  <c r="G55" i="16"/>
  <c r="C21" i="28"/>
  <c r="E21" i="28" s="1"/>
  <c r="G56" i="16"/>
  <c r="N56" i="16"/>
  <c r="N54" i="16"/>
  <c r="C22" i="28"/>
  <c r="E22" i="28" s="1"/>
  <c r="G54" i="16"/>
  <c r="F54" i="16"/>
  <c r="C18" i="28"/>
  <c r="E18" i="28" s="1"/>
  <c r="C20" i="28"/>
  <c r="E20" i="28" s="1"/>
  <c r="N57" i="16"/>
  <c r="F56" i="16"/>
  <c r="F58" i="16"/>
  <c r="N58" i="16"/>
  <c r="C23" i="28"/>
  <c r="E23" i="28" s="1"/>
  <c r="E12" i="3"/>
  <c r="E22" i="3" s="1"/>
  <c r="D22" i="3"/>
  <c r="B48" i="3" s="1"/>
  <c r="E21" i="3"/>
  <c r="J34" i="3" s="1"/>
  <c r="F11" i="3"/>
  <c r="F21" i="3" s="1"/>
  <c r="G47" i="3" s="1"/>
  <c r="D13" i="3"/>
  <c r="C41" i="2"/>
  <c r="D41" i="2" s="1"/>
  <c r="G31" i="2"/>
  <c r="T5" i="9"/>
  <c r="C14" i="3"/>
  <c r="C24" i="3" s="1"/>
  <c r="B14" i="3"/>
  <c r="B24" i="3" s="1"/>
  <c r="C6" i="29" s="1"/>
  <c r="J6" i="29" l="1"/>
  <c r="L6" i="29" s="1"/>
  <c r="E6" i="29"/>
  <c r="N25" i="3"/>
  <c r="O15" i="3"/>
  <c r="C42" i="2"/>
  <c r="I42" i="2"/>
  <c r="N53" i="16"/>
  <c r="F57" i="16"/>
  <c r="E25" i="28"/>
  <c r="C25" i="28"/>
  <c r="E13" i="3"/>
  <c r="E23" i="3" s="1"/>
  <c r="F34" i="3" s="1"/>
  <c r="D23" i="3"/>
  <c r="B49" i="3" s="1"/>
  <c r="T6" i="9"/>
  <c r="D14" i="3"/>
  <c r="B15" i="3"/>
  <c r="B25" i="3" s="1"/>
  <c r="C7" i="29" s="1"/>
  <c r="C15" i="3"/>
  <c r="F12" i="3"/>
  <c r="F22" i="3" s="1"/>
  <c r="G48" i="3" s="1"/>
  <c r="B16" i="3" l="1"/>
  <c r="B26" i="3" s="1"/>
  <c r="C8" i="29" s="1"/>
  <c r="D42" i="2"/>
  <c r="C16" i="3" s="1"/>
  <c r="D16" i="3" s="1"/>
  <c r="D26" i="3" s="1"/>
  <c r="B52" i="3" s="1"/>
  <c r="J47" i="3" s="1"/>
  <c r="J7" i="29"/>
  <c r="L7" i="29" s="1"/>
  <c r="E7" i="29"/>
  <c r="L16" i="3"/>
  <c r="J42" i="2"/>
  <c r="M16" i="3" s="1"/>
  <c r="F19" i="28"/>
  <c r="F18" i="28"/>
  <c r="F22" i="28"/>
  <c r="F21" i="28"/>
  <c r="F20" i="28"/>
  <c r="F23" i="28"/>
  <c r="D15" i="3"/>
  <c r="D25" i="3" s="1"/>
  <c r="B51" i="3" s="1"/>
  <c r="C25" i="3"/>
  <c r="E14" i="3"/>
  <c r="E24" i="3" s="1"/>
  <c r="D24" i="3"/>
  <c r="B50" i="3" s="1"/>
  <c r="T8" i="9"/>
  <c r="D17" i="3"/>
  <c r="D27" i="3" s="1"/>
  <c r="B53" i="3" s="1"/>
  <c r="T7" i="9"/>
  <c r="F13" i="3"/>
  <c r="F23" i="3" s="1"/>
  <c r="G49" i="3" s="1"/>
  <c r="E15" i="3"/>
  <c r="E25" i="3" s="1"/>
  <c r="C26" i="3" l="1"/>
  <c r="J8" i="29"/>
  <c r="L8" i="29" s="1"/>
  <c r="E8" i="29"/>
  <c r="F8" i="29" s="1"/>
  <c r="N16" i="3"/>
  <c r="N17" i="3"/>
  <c r="N27" i="3" s="1"/>
  <c r="F14" i="3"/>
  <c r="F24" i="3" s="1"/>
  <c r="G50" i="3" s="1"/>
  <c r="J50" i="3"/>
  <c r="E16" i="3"/>
  <c r="E26" i="3" s="1"/>
  <c r="D16" i="29" l="1"/>
  <c r="F7" i="29"/>
  <c r="M8" i="29"/>
  <c r="K16" i="29" s="1"/>
  <c r="M7" i="29"/>
  <c r="O16" i="3"/>
  <c r="N26" i="3"/>
  <c r="B34" i="3"/>
  <c r="F15" i="3"/>
  <c r="F25" i="3" s="1"/>
  <c r="G51" i="3" s="1"/>
  <c r="M16" i="29" l="1"/>
  <c r="L16" i="29"/>
  <c r="K15" i="29"/>
  <c r="M6" i="29"/>
  <c r="F6" i="29"/>
  <c r="D15" i="29"/>
  <c r="F16" i="29"/>
  <c r="E16" i="29"/>
  <c r="F16" i="3"/>
  <c r="F26" i="3" s="1"/>
  <c r="G52" i="3" s="1"/>
  <c r="J48" i="3" s="1"/>
  <c r="M5" i="29" l="1"/>
  <c r="K14" i="29"/>
  <c r="M15" i="29"/>
  <c r="L15" i="29"/>
  <c r="F15" i="29"/>
  <c r="E15" i="29"/>
  <c r="F5" i="29"/>
  <c r="D14" i="29"/>
  <c r="J51" i="3"/>
  <c r="F14" i="29" l="1"/>
  <c r="E14" i="29"/>
  <c r="F4" i="29"/>
  <c r="D13" i="29"/>
  <c r="M14" i="29"/>
  <c r="L14" i="29"/>
  <c r="M4" i="29"/>
  <c r="K13" i="29"/>
  <c r="F13" i="29" l="1"/>
  <c r="E13" i="29"/>
  <c r="K12" i="29"/>
  <c r="M3" i="29"/>
  <c r="K11" i="29" s="1"/>
  <c r="F3" i="29"/>
  <c r="D11" i="29" s="1"/>
  <c r="D12" i="29"/>
  <c r="M13" i="29"/>
  <c r="L13" i="29"/>
  <c r="M12" i="29" l="1"/>
  <c r="L12" i="29"/>
  <c r="F12" i="29"/>
  <c r="E12" i="29"/>
  <c r="M11" i="29"/>
  <c r="M17" i="29" s="1"/>
  <c r="L11" i="29"/>
  <c r="L17" i="29" s="1"/>
  <c r="F11" i="29"/>
  <c r="F17" i="29" s="1"/>
  <c r="E11" i="29"/>
  <c r="E17" i="29" s="1"/>
  <c r="K19" i="29" l="1"/>
  <c r="D19" i="29"/>
  <c r="C7" i="28" s="1"/>
  <c r="E14" i="28" s="1"/>
  <c r="D9" i="28" l="1"/>
  <c r="G19" i="28" l="1"/>
  <c r="G21" i="28"/>
  <c r="G23" i="28"/>
  <c r="G20" i="28"/>
  <c r="G22" i="28"/>
  <c r="J18" i="28" l="1"/>
  <c r="K18" i="28"/>
  <c r="G25" i="28"/>
  <c r="K24" i="28"/>
  <c r="J24" i="28"/>
  <c r="K23" i="28"/>
  <c r="J23" i="28"/>
  <c r="K22" i="28"/>
  <c r="J22" i="28"/>
  <c r="J21" i="28"/>
  <c r="K21" i="28"/>
  <c r="J20" i="28"/>
  <c r="K20" i="28"/>
  <c r="K19" i="28"/>
  <c r="J19" i="28"/>
  <c r="P58" i="16"/>
  <c r="P55" i="16"/>
  <c r="P56" i="16"/>
  <c r="O58" i="16"/>
  <c r="O55" i="16"/>
  <c r="O56" i="16"/>
  <c r="O54" i="16"/>
  <c r="P54" i="16"/>
  <c r="O57" i="16"/>
  <c r="P57" i="16"/>
  <c r="N59" i="16"/>
  <c r="O53" i="16"/>
  <c r="P53" i="16"/>
  <c r="Q53" i="16"/>
  <c r="Q54" i="16"/>
  <c r="Q55" i="16"/>
  <c r="Q56" i="16"/>
  <c r="Q57" i="16"/>
  <c r="Q58" i="16"/>
</calcChain>
</file>

<file path=xl/comments1.xml><?xml version="1.0" encoding="utf-8"?>
<comments xmlns="http://schemas.openxmlformats.org/spreadsheetml/2006/main">
  <authors>
    <author>Giovanni</author>
  </authors>
  <commentList>
    <comment ref="E14" authorId="0" shapeId="0">
      <text>
        <r>
          <rPr>
            <b/>
            <sz val="9"/>
            <color indexed="81"/>
            <rFont val="Tahoma"/>
            <family val="2"/>
          </rPr>
          <t xml:space="preserve">Giovanni:
</t>
        </r>
        <r>
          <rPr>
            <sz val="9"/>
            <color indexed="81"/>
            <rFont val="Tahoma"/>
            <family val="2"/>
          </rPr>
          <t xml:space="preserve">CLASSE DUTILITA' B
</t>
        </r>
      </text>
    </comment>
  </commentList>
</comments>
</file>

<file path=xl/comments10.xml><?xml version="1.0" encoding="utf-8"?>
<comments xmlns="http://schemas.openxmlformats.org/spreadsheetml/2006/main">
  <authors>
    <author>ASUS</author>
    <author>Giovanni</author>
  </authors>
  <commentList>
    <comment ref="L3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i valori sono stati ricavati da Autocad</t>
        </r>
      </text>
    </comment>
    <comment ref="N3" authorId="1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Le eccentricità sono accettabili sia nella direzione Y che nella direzione X.</t>
        </r>
      </text>
    </comment>
    <comment ref="N16" authorId="1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L'accelerazione per SLD è 0,17 g, cioè è circa 1,6 per il valore usato nel progetto per SLV (0,106 g).
</t>
        </r>
      </text>
    </comment>
  </commentList>
</comments>
</file>

<file path=xl/comments11.xml><?xml version="1.0" encoding="utf-8"?>
<comments xmlns="http://schemas.openxmlformats.org/spreadsheetml/2006/main">
  <authors>
    <author>Claudia</author>
  </authors>
  <commentList>
    <comment ref="B30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>Sbalzo 1.2 m
metà trave 0.15 m
dato che l'orditura è parallela alla trave considero il doppio del carico.
Moltiplico per 0,57 poiché il balconeoccupa solo parte della campata (ho fatto la proporzione, 2 m di balcone in una campata di 3,9 m).</t>
        </r>
      </text>
    </comment>
    <comment ref="AD30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 xml:space="preserve">Cornicione 0,5 m
metà trave 0.15 m
'orditura è ortogonale quindi non considero il doppio del valore
</t>
        </r>
      </text>
    </comment>
    <comment ref="G34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I34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B41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Non considero il solaio</t>
        </r>
      </text>
    </comment>
    <comment ref="B42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Sbalzo 1.2 m
metà trave 0.15 m
dato che l'orditura è parallela alla trave considero il doppio del carico. Moltiplico per 0,41, dato dal rapporto tra 2 m di balcone e la campata  4,8 m).</t>
        </r>
      </text>
    </comment>
    <comment ref="AD42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 xml:space="preserve">Cornicione 0,5 m
metà trave 0.15 m
'orditura è ortogonale quindi non considero il doppio del valore. Moltiplico per 0,51 poiché il balcone è 2,5m mentre la campata 4,9m.
</t>
        </r>
      </text>
    </comment>
    <comment ref="AI4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D54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 xml:space="preserve">Cornicione 0,5 m
metà trave 0.15 m
'orditura è ortogonale quindi non considero il doppio del valore
</t>
        </r>
      </text>
    </comment>
    <comment ref="AI58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D65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(è lo stesso per entrambi i lati)</t>
        </r>
      </text>
    </comment>
    <comment ref="AD77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che  è 1,05, cioè la media tra 1,1 a sx e 1 a dx</t>
        </r>
      </text>
    </comment>
    <comment ref="B90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1 m di solaio perché l'orditura è // alla trave</t>
        </r>
      </text>
    </comment>
    <comment ref="AD90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che  è 1,1, cioè la media tra 1,2 a sx e 1 a dx</t>
        </r>
      </text>
    </comment>
    <comment ref="AD104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 xml:space="preserve">Cornicione 0,5 m
metà trave 0.15 m
'orditura è ortogonale quindi non considero il doppio del valore
</t>
        </r>
      </text>
    </comment>
    <comment ref="AI108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D11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che  è 1</t>
        </r>
      </text>
    </comment>
    <comment ref="AD129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che  è 1</t>
        </r>
      </text>
    </comment>
    <comment ref="AD143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 xml:space="preserve">Cornicione 0,5 m
metà trave 0.15 m
'orditura è ortogonale quindi non considero il doppio del valore
</t>
        </r>
      </text>
    </comment>
    <comment ref="AI147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D155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che  è 1</t>
        </r>
      </text>
    </comment>
    <comment ref="AD168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che  è 1</t>
        </r>
      </text>
    </comment>
    <comment ref="B182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>Cornicione 0,5 m +
metà trave 0.15 m
dato che l'orditura è parallela alla trave considero il doppio del carico</t>
        </r>
      </text>
    </comment>
    <comment ref="AD182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(è lo stesso per entrambi i lati)</t>
        </r>
      </text>
    </comment>
    <comment ref="G18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D194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che  è 1,05, cioè la media tra 1,1 a sx e 1 a dx</t>
        </r>
      </text>
    </comment>
    <comment ref="AD207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Considero metà dei 2 solai ai lati della trave moltiplicati per il coeff. di continuità che  è 1,1, cioè la media tra 1,2 a sx e 1 a dx</t>
        </r>
      </text>
    </comment>
    <comment ref="B222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>Sbalzo 1.2 m
metà trave 0.15 m
dato che l'orditura è parallela alla trave considero il doppio del carico</t>
        </r>
      </text>
    </comment>
    <comment ref="AD222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 xml:space="preserve">Cornicione 0,5 m
metà trave 0.15 m
'orditura è ortogonale quindi non considero il doppio del valore
</t>
        </r>
      </text>
    </comment>
    <comment ref="G22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I22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D234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 xml:space="preserve">Cornicione 0,5 m
metà trave 0.15 m
'orditura è ortogonale quindi non considero il doppio del valore
</t>
        </r>
      </text>
    </comment>
    <comment ref="B235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>Sbalzo 1.2 m
metà trave 0.15 m
dato che l'orditura è parallela alla trave considero il doppio del carico. Moltiplico per 0,41 poiché il balcone è 2 m mentre la campata è 4,8.</t>
        </r>
      </text>
    </comment>
    <comment ref="AI238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G239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AD246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 xml:space="preserve">Cornicione 0,5 m
metà trave 0.15 m
'orditura è ortogonale quindi non considero il doppio del valore
</t>
        </r>
      </text>
    </comment>
    <comment ref="B248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>Sbalzo 1.2 m
metà trave 0.15 m
dato che l'orditura è parallela alla trave considero il doppio del carico</t>
        </r>
      </text>
    </comment>
    <comment ref="AI250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G252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  <comment ref="B261" authorId="0" shapeId="0">
      <text>
        <r>
          <rPr>
            <b/>
            <sz val="11"/>
            <color indexed="81"/>
            <rFont val="Tahoma"/>
            <family val="2"/>
          </rPr>
          <t xml:space="preserve">Giovanni:
</t>
        </r>
        <r>
          <rPr>
            <sz val="11"/>
            <color indexed="81"/>
            <rFont val="Tahoma"/>
            <family val="2"/>
          </rPr>
          <t>Sbalzo 1.2 m
metà trave 0.15 m
dato che l'orditura è parallela alla trave considero il doppio del carico</t>
        </r>
      </text>
    </comment>
    <comment ref="G265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0,8 - porta
0,9 - finestra</t>
        </r>
      </text>
    </comment>
  </commentList>
</comments>
</file>

<file path=xl/comments12.xml><?xml version="1.0" encoding="utf-8"?>
<comments xmlns="http://schemas.openxmlformats.org/spreadsheetml/2006/main">
  <authors>
    <author>Claudia</author>
  </authors>
  <commentList>
    <comment ref="E2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Ho calcolato l'area di tutto il solaio tranne balconi e scala</t>
        </r>
      </text>
    </comment>
    <comment ref="I31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Somma di tutte le travi emergenti orizzontali e verticali</t>
        </r>
      </text>
    </comment>
    <comment ref="E35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89 è la somma delle temponature</t>
        </r>
      </text>
    </comment>
    <comment ref="E3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La somma dei tramezzi calcolata come la lunghezza della trave senza il pilastro è 75,8.</t>
        </r>
      </text>
    </comment>
  </commentList>
</comments>
</file>

<file path=xl/comments2.xml><?xml version="1.0" encoding="utf-8"?>
<comments xmlns="http://schemas.openxmlformats.org/spreadsheetml/2006/main">
  <authors>
    <author>Giovanni</author>
    <author>Claudia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Luce della campata più sollecitata , Trave 106 campata 17 - 23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con SISMA</t>
        </r>
      </text>
    </comment>
    <comment ref="Y13" authorId="1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levo 0,7m della trave dall'altezza del pilastro
</t>
        </r>
      </text>
    </comment>
    <comment ref="AC13" authorId="1" shapeId="0">
      <text>
        <r>
          <rPr>
            <b/>
            <sz val="9"/>
            <color indexed="81"/>
            <rFont val="Tahoma"/>
            <family val="2"/>
          </rPr>
          <t xml:space="preserve">Giovanni:
</t>
        </r>
        <r>
          <rPr>
            <sz val="9"/>
            <color indexed="81"/>
            <rFont val="Tahoma"/>
            <family val="2"/>
          </rPr>
          <t>levo 0,7m della trave dall'altezza del pilastro</t>
        </r>
      </text>
    </comment>
    <comment ref="AG13" authorId="1" shapeId="0">
      <text>
        <r>
          <rPr>
            <b/>
            <sz val="9"/>
            <color indexed="81"/>
            <rFont val="Tahoma"/>
            <family val="2"/>
          </rPr>
          <t xml:space="preserve">Giovanni:
</t>
        </r>
        <r>
          <rPr>
            <sz val="9"/>
            <color indexed="81"/>
            <rFont val="Tahoma"/>
            <family val="2"/>
          </rPr>
          <t>levo 0,6 m della trave dall'altezza del pilastro</t>
        </r>
      </text>
    </comment>
    <comment ref="D36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TRAMEZZI
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HO MOLTIPLICATO PER I COEFFICIENTI DI NORMATIVA 1,3 E 1,5
</t>
        </r>
      </text>
    </comment>
  </commentList>
</comments>
</file>

<file path=xl/comments3.xml><?xml version="1.0" encoding="utf-8"?>
<comments xmlns="http://schemas.openxmlformats.org/spreadsheetml/2006/main">
  <authors>
    <author>Giovanni</author>
  </authors>
  <commentList>
    <comment ref="D37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ho diviso per il numero dei pilastri</t>
        </r>
      </text>
    </comment>
    <comment ref="D42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devo dividere per un numero minore di 11
HO DIVISO PER 10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Piano interrato
</t>
        </r>
      </text>
    </comment>
  </commentList>
</comments>
</file>

<file path=xl/comments4.xml><?xml version="1.0" encoding="utf-8"?>
<comments xmlns="http://schemas.openxmlformats.org/spreadsheetml/2006/main">
  <authors>
    <author>Giovanni</author>
  </authors>
  <commentList>
    <comment ref="A18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non devo considerarlo nei calcoli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Non ho incrementato il M trave del 20% perché il telaio non è perimetrale.</t>
        </r>
      </text>
    </comment>
  </commentList>
</comments>
</file>

<file path=xl/comments5.xml><?xml version="1.0" encoding="utf-8"?>
<comments xmlns="http://schemas.openxmlformats.org/spreadsheetml/2006/main">
  <authors>
    <author>Giovanni</author>
  </authors>
  <commentList>
    <comment ref="O40" authorId="0" shapeId="0">
      <text>
        <r>
          <rPr>
            <b/>
            <sz val="9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P - Pilastro Perimetrale
I - Pilastro Interno</t>
        </r>
      </text>
    </comment>
  </commentList>
</comments>
</file>

<file path=xl/comments6.xml><?xml version="1.0" encoding="utf-8"?>
<comments xmlns="http://schemas.openxmlformats.org/spreadsheetml/2006/main">
  <authors>
    <author>Giovanni</author>
  </authors>
  <commentList>
    <comment ref="W15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Data la diversa collocazione dei pilastri lungo l'asse Y, i baricentri dei pialstri si trovano a quote diverse nonostante facciano parte della stessa trave. 
In alcuni casi ( dove la differenza era minima) ho considerato, per tutti i baricentri, la stessa quota.</t>
        </r>
      </text>
    </comment>
    <comment ref="V28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L'eccentricità è minore del 5 %</t>
        </r>
      </text>
    </comment>
    <comment ref="V39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Collocazione dei pilastri lungo l'asse X</t>
        </r>
      </text>
    </comment>
    <comment ref="U5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L'eccentricità è minore del 5%</t>
        </r>
      </text>
    </comment>
  </commentList>
</comments>
</file>

<file path=xl/comments7.xml><?xml version="1.0" encoding="utf-8"?>
<comments xmlns="http://schemas.openxmlformats.org/spreadsheetml/2006/main">
  <authors>
    <author>Giovanni</author>
  </authors>
  <commentList>
    <comment ref="V28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L'eccentricità è minore del 5 %</t>
        </r>
      </text>
    </comment>
    <comment ref="U56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L'eccentricità è minore del 5%</t>
        </r>
      </text>
    </comment>
  </commentList>
</comments>
</file>

<file path=xl/comments8.xml><?xml version="1.0" encoding="utf-8"?>
<comments xmlns="http://schemas.openxmlformats.org/spreadsheetml/2006/main">
  <authors>
    <author>Giovanni</author>
  </authors>
  <commentList>
    <comment ref="W27" authorId="0" shapeId="0">
      <text>
        <r>
          <rPr>
            <b/>
            <sz val="11"/>
            <color indexed="81"/>
            <rFont val="Tahoma"/>
            <family val="2"/>
          </rPr>
          <t>Giovanni:</t>
        </r>
        <r>
          <rPr>
            <sz val="11"/>
            <color indexed="81"/>
            <rFont val="Tahoma"/>
            <family val="2"/>
          </rPr>
          <t xml:space="preserve">
L'Eccentricità è minore del 5%</t>
        </r>
      </text>
    </comment>
  </commentList>
</comments>
</file>

<file path=xl/comments9.xml><?xml version="1.0" encoding="utf-8"?>
<comments xmlns="http://schemas.openxmlformats.org/spreadsheetml/2006/main">
  <authors>
    <author>Claudia</author>
  </authors>
  <commentList>
    <comment ref="Z58" authorId="0" shapeId="0">
      <text>
        <r>
          <rPr>
            <b/>
            <sz val="12"/>
            <color indexed="81"/>
            <rFont val="Tahoma"/>
            <family val="2"/>
          </rPr>
          <t>Claudia:</t>
        </r>
        <r>
          <rPr>
            <sz val="12"/>
            <color indexed="81"/>
            <rFont val="Tahoma"/>
            <family val="2"/>
          </rPr>
          <t xml:space="preserve">
PORTE</t>
        </r>
      </text>
    </comment>
    <comment ref="AJ58" authorId="0" shapeId="0">
      <text>
        <r>
          <rPr>
            <b/>
            <sz val="12"/>
            <color indexed="81"/>
            <rFont val="Tahoma"/>
            <family val="2"/>
          </rPr>
          <t>Claudia:</t>
        </r>
        <r>
          <rPr>
            <sz val="12"/>
            <color indexed="81"/>
            <rFont val="Tahoma"/>
            <family val="2"/>
          </rPr>
          <t xml:space="preserve">
Finestre</t>
        </r>
      </text>
    </comment>
  </commentList>
</comments>
</file>

<file path=xl/sharedStrings.xml><?xml version="1.0" encoding="utf-8"?>
<sst xmlns="http://schemas.openxmlformats.org/spreadsheetml/2006/main" count="2371" uniqueCount="548">
  <si>
    <t>qk</t>
  </si>
  <si>
    <t>gd</t>
  </si>
  <si>
    <t>qd</t>
  </si>
  <si>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</t>
    </r>
  </si>
  <si>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2*qk</t>
    </r>
  </si>
  <si>
    <t>s[cm]=</t>
  </si>
  <si>
    <t>Lmax[cm]=</t>
  </si>
  <si>
    <t>larghezza[cm]=</t>
  </si>
  <si>
    <t>alette(cm)=</t>
  </si>
  <si>
    <t>larghezza_tot=</t>
  </si>
  <si>
    <t>spessore[cm]=</t>
  </si>
  <si>
    <t>altezza[cm]=</t>
  </si>
  <si>
    <t>peso specif.cls[KN]</t>
  </si>
  <si>
    <t>PESO PROPRIO</t>
  </si>
  <si>
    <t>SOLETTA</t>
  </si>
  <si>
    <t>SOLAIO</t>
  </si>
  <si>
    <t>peso specif.cls[KN/m3]</t>
  </si>
  <si>
    <t>PIGNATTE</t>
  </si>
  <si>
    <t>peso proprio [KN/m2]</t>
  </si>
  <si>
    <t>peso [KN]</t>
  </si>
  <si>
    <t>n pignatte su m2</t>
  </si>
  <si>
    <t>TRAVETTI</t>
  </si>
  <si>
    <t>n travetti</t>
  </si>
  <si>
    <t>larghezza [m]</t>
  </si>
  <si>
    <t>altezza [m]</t>
  </si>
  <si>
    <t>SOVRACCARICHI PERMANENTI</t>
  </si>
  <si>
    <t>MASSETTO ALLEGGERITO</t>
  </si>
  <si>
    <t>spessore [m]</t>
  </si>
  <si>
    <t>peso specif.[kN/m3]</t>
  </si>
  <si>
    <t>PAVIMENTO [granito]</t>
  </si>
  <si>
    <t>INTONACO</t>
  </si>
  <si>
    <t xml:space="preserve">TOT </t>
  </si>
  <si>
    <t>BALCONE</t>
  </si>
  <si>
    <t>TAMPONATURE</t>
  </si>
  <si>
    <r>
      <rPr>
        <b/>
        <sz val="11"/>
        <color theme="1"/>
        <rFont val="Calibri"/>
        <family val="2"/>
        <scheme val="minor"/>
      </rPr>
      <t>pignatta</t>
    </r>
    <r>
      <rPr>
        <sz val="11"/>
        <color theme="1"/>
        <rFont val="Calibri"/>
        <family val="2"/>
        <scheme val="minor"/>
      </rPr>
      <t xml:space="preserve"> spessore [cm]</t>
    </r>
  </si>
  <si>
    <t>peso specif. [kN/m3]</t>
  </si>
  <si>
    <t>L [m]</t>
  </si>
  <si>
    <t>qd [KN/m]</t>
  </si>
  <si>
    <t>qd [KN/m] sisma</t>
  </si>
  <si>
    <t>M [KNm]</t>
  </si>
  <si>
    <t>M [KNm] sisma</t>
  </si>
  <si>
    <t>h [m]</t>
  </si>
  <si>
    <t>c [m]</t>
  </si>
  <si>
    <t>r</t>
  </si>
  <si>
    <t>B [m]</t>
  </si>
  <si>
    <t>trave</t>
  </si>
  <si>
    <t>30 X 60</t>
  </si>
  <si>
    <t>spessore [cm]</t>
  </si>
  <si>
    <t>peso specif. Clc [kN/m3]</t>
  </si>
  <si>
    <t>peso solaio da detrarre</t>
  </si>
  <si>
    <t>peso caratteristico solaio</t>
  </si>
  <si>
    <t>TOT</t>
  </si>
  <si>
    <t>L influenza [m]</t>
  </si>
  <si>
    <t>L trave 16-17 [m]</t>
  </si>
  <si>
    <t>L trave 17-18 [m]</t>
  </si>
  <si>
    <t>alfa 2</t>
  </si>
  <si>
    <t>alfa 1</t>
  </si>
  <si>
    <t>Gd [kN/m]</t>
  </si>
  <si>
    <t>Qd [kN/m]</t>
  </si>
  <si>
    <t>L trave 11-17 [m]</t>
  </si>
  <si>
    <t>L trave 17-23 [m]</t>
  </si>
  <si>
    <t>MASSETTO</t>
  </si>
  <si>
    <t>PAVIMENTO [gres]</t>
  </si>
  <si>
    <r>
      <t>gk+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2*qk</t>
    </r>
  </si>
  <si>
    <t>B [m]  sisma</t>
  </si>
  <si>
    <t>30 X 70</t>
  </si>
  <si>
    <t>peso specif. Cls [kN/m3]</t>
  </si>
  <si>
    <t>A infl. Solaio [m2]</t>
  </si>
  <si>
    <t>carico senza sisma</t>
  </si>
  <si>
    <t>carico con sisma</t>
  </si>
  <si>
    <t>A /L influenza</t>
  </si>
  <si>
    <t>trave 111, 16 - 17 [m]</t>
  </si>
  <si>
    <t>trave 111,  17 - 18 [m]</t>
  </si>
  <si>
    <t>trave 106,  11 - 17 [m]</t>
  </si>
  <si>
    <t>trave 106,  17 - 23 [m]</t>
  </si>
  <si>
    <t>solaio [m2]</t>
  </si>
  <si>
    <t>Gd+Qd [kN/m] senza sisma</t>
  </si>
  <si>
    <t>TRAVE 106 CAMP. 17 - 23 (emerg.)</t>
  </si>
  <si>
    <t>piani</t>
  </si>
  <si>
    <t>% pilastro</t>
  </si>
  <si>
    <t>Torrino scala [m2]</t>
  </si>
  <si>
    <t>Impalcato</t>
  </si>
  <si>
    <t>Superficie [m2]</t>
  </si>
  <si>
    <t>Incidenza KN/m2</t>
  </si>
  <si>
    <t>Peso kN</t>
  </si>
  <si>
    <t xml:space="preserve">Massa </t>
  </si>
  <si>
    <t>C1</t>
  </si>
  <si>
    <t>H [m]</t>
  </si>
  <si>
    <t>Sd(T) SLD</t>
  </si>
  <si>
    <t>T1 [s]</t>
  </si>
  <si>
    <t>taglio alla base</t>
  </si>
  <si>
    <t>Vb [kN] =</t>
  </si>
  <si>
    <t>Sd(T) SLV</t>
  </si>
  <si>
    <t>Peso W [kN]</t>
  </si>
  <si>
    <t>Quota z [m]</t>
  </si>
  <si>
    <t>Wz [kNm]</t>
  </si>
  <si>
    <t>Forza F [kN]</t>
  </si>
  <si>
    <t>Taglio V [kN]</t>
  </si>
  <si>
    <t>SOMMA</t>
  </si>
  <si>
    <t>Piano</t>
  </si>
  <si>
    <t>Taglio globale [kN]</t>
  </si>
  <si>
    <t>Taglio pilastro [kN]</t>
  </si>
  <si>
    <t>Pilastri X</t>
  </si>
  <si>
    <t>Pilastri Y</t>
  </si>
  <si>
    <t>num. Pilastri II ordine</t>
  </si>
  <si>
    <t>num. Pilastri tor.</t>
  </si>
  <si>
    <t>Pilastri direzione X</t>
  </si>
  <si>
    <t>h interpiano [m]</t>
  </si>
  <si>
    <t>V pilastro</t>
  </si>
  <si>
    <t>Momento Pilastro [kNm]</t>
  </si>
  <si>
    <t>Momento Trave [kNm]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</si>
  <si>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N Pilastro [kN]</t>
    </r>
  </si>
  <si>
    <t>L_trave</t>
  </si>
  <si>
    <t>V globale</t>
  </si>
  <si>
    <t>M =</t>
  </si>
  <si>
    <t>M [kNm] =</t>
  </si>
  <si>
    <t>arrotondo</t>
  </si>
  <si>
    <t>kNm</t>
  </si>
  <si>
    <t>Dimensionamento Travi Emergenti</t>
  </si>
  <si>
    <t>sez. rettangolare</t>
  </si>
  <si>
    <r>
      <t>M</t>
    </r>
    <r>
      <rPr>
        <sz val="8"/>
        <color theme="1"/>
        <rFont val="Calibri"/>
        <family val="2"/>
        <scheme val="minor"/>
      </rPr>
      <t xml:space="preserve">Ed </t>
    </r>
    <r>
      <rPr>
        <sz val="11"/>
        <color theme="1"/>
        <rFont val="Calibri"/>
        <family val="2"/>
        <scheme val="minor"/>
      </rPr>
      <t>=</t>
    </r>
  </si>
  <si>
    <t>b [m] =</t>
  </si>
  <si>
    <t>fck CLS [MPa] =</t>
  </si>
  <si>
    <t>c [m] =</t>
  </si>
  <si>
    <t>altezza utile</t>
  </si>
  <si>
    <t>d [m] =</t>
  </si>
  <si>
    <t>r =</t>
  </si>
  <si>
    <t xml:space="preserve">sezione </t>
  </si>
  <si>
    <t>Mmax Tot [kNm]=</t>
  </si>
  <si>
    <t>30 X 50</t>
  </si>
  <si>
    <t>M senza sisma [KNm]</t>
  </si>
  <si>
    <t>M sisma [KNm]</t>
  </si>
  <si>
    <t xml:space="preserve"> TRAVE Emergente 111 camp. 16-17 E 17-18</t>
  </si>
  <si>
    <t>totale [KN]</t>
  </si>
  <si>
    <t>totale con peso pilastro [kN]</t>
  </si>
  <si>
    <t>peso proprio [kN/m]</t>
  </si>
  <si>
    <t>peso specif.cls [KN/m3]</t>
  </si>
  <si>
    <t>peso specifico [KN/m3]</t>
  </si>
  <si>
    <t>PILASTRO 17 (più sollecitato)</t>
  </si>
  <si>
    <t>PILASTRO 1 (meno sollecitato)</t>
  </si>
  <si>
    <t>L trave 1-2 [m]</t>
  </si>
  <si>
    <t>L trave 1-7 [m]</t>
  </si>
  <si>
    <t>Pilasto 1</t>
  </si>
  <si>
    <t>Pilasto 17</t>
  </si>
  <si>
    <t>Ordine</t>
  </si>
  <si>
    <r>
      <t>N</t>
    </r>
    <r>
      <rPr>
        <sz val="8"/>
        <color theme="1"/>
        <rFont val="Calibri"/>
        <family val="2"/>
        <scheme val="minor"/>
      </rPr>
      <t xml:space="preserve">ed   </t>
    </r>
    <r>
      <rPr>
        <sz val="11"/>
        <color theme="1"/>
        <rFont val="Calibri"/>
        <family val="2"/>
        <scheme val="minor"/>
      </rPr>
      <t>senza sisma</t>
    </r>
  </si>
  <si>
    <r>
      <t>N</t>
    </r>
    <r>
      <rPr>
        <sz val="8"/>
        <color theme="1"/>
        <rFont val="Calibri"/>
        <family val="2"/>
        <scheme val="minor"/>
      </rPr>
      <t>Ed</t>
    </r>
    <r>
      <rPr>
        <sz val="11"/>
        <color theme="1"/>
        <rFont val="Calibri"/>
        <family val="2"/>
        <scheme val="minor"/>
      </rPr>
      <t xml:space="preserve">   con sisma</t>
    </r>
  </si>
  <si>
    <t>M pilastro [kNm]</t>
  </si>
  <si>
    <t>Sforzo Normale senza sisma [kN]</t>
  </si>
  <si>
    <t>Sforzo Normale con sisma [kN]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</si>
  <si>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</rPr>
      <t>N da sisma</t>
    </r>
  </si>
  <si>
    <t>Nmin=</t>
  </si>
  <si>
    <t>SISMA</t>
  </si>
  <si>
    <t>Nmax =</t>
  </si>
  <si>
    <t>Pilastri</t>
  </si>
  <si>
    <t>Pilastri lungo direzione X</t>
  </si>
  <si>
    <t>Pilastri lungo direzione Y</t>
  </si>
  <si>
    <t>Travi emergenti</t>
  </si>
  <si>
    <t>Travi lungo direzione X</t>
  </si>
  <si>
    <t>Travi lungo direzione Y</t>
  </si>
  <si>
    <t>Pilastri 30 X 70</t>
  </si>
  <si>
    <t>Lp [m] =</t>
  </si>
  <si>
    <t>Ip [cm4] =</t>
  </si>
  <si>
    <t>b [cm] =</t>
  </si>
  <si>
    <t>h [cm] =</t>
  </si>
  <si>
    <t>E Ip / Lp [kN mm] =</t>
  </si>
  <si>
    <t>E [Mpa] =</t>
  </si>
  <si>
    <t>2 travi emergenti</t>
  </si>
  <si>
    <t>coeff.</t>
  </si>
  <si>
    <t xml:space="preserve">Pilastro 70 X 30 </t>
  </si>
  <si>
    <t xml:space="preserve">Pilastro 30 X 70 </t>
  </si>
  <si>
    <t>Pilastro 30 X 70</t>
  </si>
  <si>
    <t>1 trave emergente</t>
  </si>
  <si>
    <t>n</t>
  </si>
  <si>
    <t>K</t>
  </si>
  <si>
    <t>somma</t>
  </si>
  <si>
    <t>Travi direz. X</t>
  </si>
  <si>
    <t>Vedere i file Rigidezze nella cartella</t>
  </si>
  <si>
    <t>K [kN/mm] =</t>
  </si>
  <si>
    <t>Travi direz. Y</t>
  </si>
  <si>
    <t>1 trave a spessore</t>
  </si>
  <si>
    <t>TRAVE a Spessore 106 camp. 11 - 17</t>
  </si>
  <si>
    <t>L trave 10-11 [m]</t>
  </si>
  <si>
    <t>L trave 11-12 [m]</t>
  </si>
  <si>
    <t>1 Piano</t>
  </si>
  <si>
    <t>ordine</t>
  </si>
  <si>
    <t>Kx</t>
  </si>
  <si>
    <t>Ky</t>
  </si>
  <si>
    <t>PIANO</t>
  </si>
  <si>
    <t>F [kN]</t>
  </si>
  <si>
    <t>V [kN]</t>
  </si>
  <si>
    <t>k [kN/mm]</t>
  </si>
  <si>
    <t>dr [mm]</t>
  </si>
  <si>
    <t>u [mm]</t>
  </si>
  <si>
    <t>DIREZIONE X</t>
  </si>
  <si>
    <t>m [kN s2/m]</t>
  </si>
  <si>
    <t>F u [kN mm]</t>
  </si>
  <si>
    <t>m u2 [kN mms2]</t>
  </si>
  <si>
    <t>T [sec] =</t>
  </si>
  <si>
    <t>DIREZIONE Y</t>
  </si>
  <si>
    <t>x - pil. Equivalenti</t>
  </si>
  <si>
    <t>y - pil. Equivalenti</t>
  </si>
  <si>
    <t>1 (p. int)</t>
  </si>
  <si>
    <t>1 (p. int.)</t>
  </si>
  <si>
    <t xml:space="preserve">Piano tipo </t>
  </si>
  <si>
    <t>,</t>
  </si>
  <si>
    <t>y=</t>
  </si>
  <si>
    <t>x=</t>
  </si>
  <si>
    <t xml:space="preserve">YG = </t>
  </si>
  <si>
    <t>s y</t>
  </si>
  <si>
    <t>s y2</t>
  </si>
  <si>
    <t>s x</t>
  </si>
  <si>
    <t>s x2</t>
  </si>
  <si>
    <t>xG=</t>
  </si>
  <si>
    <t>x =</t>
  </si>
  <si>
    <t>ORDINE</t>
  </si>
  <si>
    <r>
      <rPr>
        <sz val="11"/>
        <color theme="1"/>
        <rFont val="Symbol"/>
        <family val="1"/>
        <charset val="2"/>
      </rPr>
      <t xml:space="preserve">S </t>
    </r>
    <r>
      <rPr>
        <sz val="11"/>
        <color theme="1"/>
        <rFont val="Calibri"/>
        <family val="2"/>
      </rPr>
      <t>kx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</si>
  <si>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 xml:space="preserve"> ky</t>
    </r>
  </si>
  <si>
    <t>x Gk</t>
  </si>
  <si>
    <t>y Gk</t>
  </si>
  <si>
    <t>rk x</t>
  </si>
  <si>
    <t>rk y</t>
  </si>
  <si>
    <t>Travi emergenti piani superiori 30 X 50</t>
  </si>
  <si>
    <t>Travi emergenti piani inferiori Travi 30 X 60</t>
  </si>
  <si>
    <t>Travi emergenti 30 X 60</t>
  </si>
  <si>
    <t>x Gm</t>
  </si>
  <si>
    <t>y Gm</t>
  </si>
  <si>
    <t>rm</t>
  </si>
  <si>
    <t>torrino + 7</t>
  </si>
  <si>
    <t>2 testa</t>
  </si>
  <si>
    <t>2 piede</t>
  </si>
  <si>
    <t>7 + TORRINO</t>
  </si>
  <si>
    <t>2 ORDINE</t>
  </si>
  <si>
    <t>7 ORDINE + TORRINO</t>
  </si>
  <si>
    <t>7 ORDINE</t>
  </si>
  <si>
    <t xml:space="preserve">2 travi emergenti </t>
  </si>
  <si>
    <t>Pilastro 30 X 70 (P)</t>
  </si>
  <si>
    <t>Pilastro 70 X 30 (P)</t>
  </si>
  <si>
    <t>Pilastro 30 X 70 (I)</t>
  </si>
  <si>
    <t>Pilastro 70 X 30 (I)</t>
  </si>
  <si>
    <t>Pilastro 30 X 70  (P)</t>
  </si>
  <si>
    <t>2 travi emergente</t>
  </si>
  <si>
    <t>Sisma Direzione x</t>
  </si>
  <si>
    <t>Sisma Direzione y</t>
  </si>
  <si>
    <t xml:space="preserve">Pilastri 70 X 30 </t>
  </si>
  <si>
    <t>con 1 Trave Emergente</t>
  </si>
  <si>
    <t>con 2 Travi Emergenti</t>
  </si>
  <si>
    <t xml:space="preserve">Pilastri 30 X 70 </t>
  </si>
  <si>
    <t>ORDINE 7</t>
  </si>
  <si>
    <t>con 1 Trave a spessore</t>
  </si>
  <si>
    <t>e [m] =</t>
  </si>
  <si>
    <t>Perimetrale</t>
  </si>
  <si>
    <t>Pilastri 70 X 30</t>
  </si>
  <si>
    <t>Interni</t>
  </si>
  <si>
    <t>Perimetrali</t>
  </si>
  <si>
    <t>con 1 Trave a Spessore</t>
  </si>
  <si>
    <t>Ik =</t>
  </si>
  <si>
    <t>rk x =</t>
  </si>
  <si>
    <t>rk y =</t>
  </si>
  <si>
    <t>u SLV [mm]</t>
  </si>
  <si>
    <t>dr SLV [mm]</t>
  </si>
  <si>
    <t>dr SLD [mm]</t>
  </si>
  <si>
    <t>hr [m]</t>
  </si>
  <si>
    <t>dr,amm [mm]</t>
  </si>
  <si>
    <t>Solaio piano tipo (escl. Tramezzi)</t>
  </si>
  <si>
    <t>Solaio copertura</t>
  </si>
  <si>
    <t>Solaio torrino scala</t>
  </si>
  <si>
    <t>Sbalzo piano tipo</t>
  </si>
  <si>
    <t>Sbalzo copertura, cornicione</t>
  </si>
  <si>
    <t>Scala</t>
  </si>
  <si>
    <t>qk [kN/m2]</t>
  </si>
  <si>
    <t>TOTALE senza sisma</t>
  </si>
  <si>
    <t>TOTALE con sisma</t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</si>
  <si>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</rPr>
      <t>g1</t>
    </r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</si>
  <si>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</rPr>
      <t xml:space="preserve">g2, 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</rPr>
      <t>q</t>
    </r>
  </si>
  <si>
    <t>g1k [kN/m2]</t>
  </si>
  <si>
    <t>g2k [kN/m2]</t>
  </si>
  <si>
    <t>Y</t>
  </si>
  <si>
    <t>Travi 30 X 60</t>
  </si>
  <si>
    <t>Travi 30 X 50</t>
  </si>
  <si>
    <t>Tamponature</t>
  </si>
  <si>
    <t>Tramezzi</t>
  </si>
  <si>
    <t>Trave 106 (17-23) Emergente</t>
  </si>
  <si>
    <t>Trave 105 (16-22) a Spessore</t>
  </si>
  <si>
    <t>Solaio [kN/m2]</t>
  </si>
  <si>
    <t>Tamponatura [kN/m]</t>
  </si>
  <si>
    <t>Balcone [kN/m2]</t>
  </si>
  <si>
    <t>Scala [kN/m2]</t>
  </si>
  <si>
    <t>g1k</t>
  </si>
  <si>
    <t>g2k</t>
  </si>
  <si>
    <t>gd + qd</t>
  </si>
  <si>
    <t>Momento per azione sismica ( II, III, IV Ordine )</t>
  </si>
  <si>
    <t>Momento per azione sismica (V, VI Ordine )</t>
  </si>
  <si>
    <t>Momento per azione sismica (VII Ordine )</t>
  </si>
  <si>
    <t>60 X 22</t>
  </si>
  <si>
    <t>Piano Tipo (ORDINE V e VI )</t>
  </si>
  <si>
    <t>Piano tipo (V e VI )</t>
  </si>
  <si>
    <t>ORDINE 3 &amp; 4</t>
  </si>
  <si>
    <t>6   5</t>
  </si>
  <si>
    <t>4   3</t>
  </si>
  <si>
    <t>Larghezza [m]</t>
  </si>
  <si>
    <t>Pilastro 30 X 50 TORRINO SCALA</t>
  </si>
  <si>
    <t>Pilastro 30 X 50</t>
  </si>
  <si>
    <t>Pilastri 30 X 50 Torrino Scala</t>
  </si>
  <si>
    <t>Pilastri 30 X 60</t>
  </si>
  <si>
    <t>Solaio Torrino [kN/m2]</t>
  </si>
  <si>
    <t>Solaio Terrazzo [kN/m2]</t>
  </si>
  <si>
    <t>h [m]=</t>
  </si>
  <si>
    <t>90 x 24</t>
  </si>
  <si>
    <t>Travi a spessore  piani superiori 90 X 24</t>
  </si>
  <si>
    <t>Travi a spessore  piani superiori 90X 24</t>
  </si>
  <si>
    <t>Travi 90 X 24</t>
  </si>
  <si>
    <t>solaio</t>
  </si>
  <si>
    <t>tamponatura</t>
  </si>
  <si>
    <t>sbalzo</t>
  </si>
  <si>
    <t>scala</t>
  </si>
  <si>
    <t>telaio</t>
  </si>
  <si>
    <t>1 x</t>
  </si>
  <si>
    <t>campata</t>
  </si>
  <si>
    <t>gk</t>
  </si>
  <si>
    <t>Senza Sisma</t>
  </si>
  <si>
    <t>con Sisma</t>
  </si>
  <si>
    <t>22-23</t>
  </si>
  <si>
    <t>23-24</t>
  </si>
  <si>
    <t>2 x</t>
  </si>
  <si>
    <t>14-15</t>
  </si>
  <si>
    <t>16-17, 17-18</t>
  </si>
  <si>
    <t>3 x</t>
  </si>
  <si>
    <t>8-9, 10-11</t>
  </si>
  <si>
    <t>9-10,</t>
  </si>
  <si>
    <t>4 x</t>
  </si>
  <si>
    <t>1-2,</t>
  </si>
  <si>
    <t>2-3,</t>
  </si>
  <si>
    <t>5 x</t>
  </si>
  <si>
    <t>4-5,</t>
  </si>
  <si>
    <t>5-6,</t>
  </si>
  <si>
    <t>1 y</t>
  </si>
  <si>
    <t>2 y</t>
  </si>
  <si>
    <t>3 y</t>
  </si>
  <si>
    <t>4 y</t>
  </si>
  <si>
    <t>5 y</t>
  </si>
  <si>
    <t>6 y</t>
  </si>
  <si>
    <t>Tipo Carico</t>
  </si>
  <si>
    <t>Peso [kN]</t>
  </si>
  <si>
    <t>Quantità [m2]</t>
  </si>
  <si>
    <t>Solaio del piano tipo</t>
  </si>
  <si>
    <t>Pilastri 30 X 50 torrino</t>
  </si>
  <si>
    <t>Torrino</t>
  </si>
  <si>
    <t>Sbalzo copertura - cornicione</t>
  </si>
  <si>
    <t>ho 11 pilastri verticali , lungo y</t>
  </si>
  <si>
    <t>ho 13 pilastri orizzontali, lungo x</t>
  </si>
  <si>
    <t>Inizialmente ripartico la forza nei 13 pilastri nella direzione x</t>
  </si>
  <si>
    <t xml:space="preserve">19-20, 20-21, </t>
  </si>
  <si>
    <t>21-22,</t>
  </si>
  <si>
    <t>Località</t>
  </si>
  <si>
    <t>via Marchese 47 Misterbianco (CT)</t>
  </si>
  <si>
    <t>stato limite</t>
  </si>
  <si>
    <t>SLO</t>
  </si>
  <si>
    <t>SLD</t>
  </si>
  <si>
    <t>SLV</t>
  </si>
  <si>
    <t>SLC</t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</si>
  <si>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</si>
  <si>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</si>
  <si>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</si>
  <si>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1"/>
        <color theme="1"/>
        <rFont val="Calibri"/>
        <family val="2"/>
        <scheme val="minor"/>
      </rPr>
      <t>*</t>
    </r>
  </si>
  <si>
    <t>categoria topografica</t>
  </si>
  <si>
    <t>T1</t>
  </si>
  <si>
    <t>smorzamento</t>
  </si>
  <si>
    <t>suolo</t>
  </si>
  <si>
    <t>B</t>
  </si>
  <si>
    <t>fattore di comportamento q</t>
  </si>
  <si>
    <t>Nota: modificare solo i valori in rosso</t>
  </si>
  <si>
    <t>Si ottiene:</t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</si>
  <si>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</si>
  <si>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</si>
  <si>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</si>
  <si>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S</t>
    </r>
    <r>
      <rPr>
        <vertAlign val="subscript"/>
        <sz val="10"/>
        <rFont val="Arial"/>
        <family val="2"/>
      </rPr>
      <t>e</t>
    </r>
    <r>
      <rPr>
        <sz val="11"/>
        <color theme="1"/>
        <rFont val="Calibri"/>
        <family val="2"/>
        <scheme val="minor"/>
      </rPr>
      <t>(T</t>
    </r>
    <r>
      <rPr>
        <vertAlign val="subscript"/>
        <sz val="10"/>
        <rFont val="Arial"/>
        <family val="2"/>
      </rPr>
      <t>C</t>
    </r>
    <r>
      <rPr>
        <sz val="11"/>
        <color theme="1"/>
        <rFont val="Calibri"/>
        <family val="2"/>
        <scheme val="minor"/>
      </rPr>
      <t>)</t>
    </r>
  </si>
  <si>
    <r>
      <t>S</t>
    </r>
    <r>
      <rPr>
        <vertAlign val="subscript"/>
        <sz val="10"/>
        <rFont val="Arial"/>
        <family val="2"/>
      </rPr>
      <t>d</t>
    </r>
    <r>
      <rPr>
        <sz val="11"/>
        <color theme="1"/>
        <rFont val="Calibri"/>
        <family val="2"/>
        <scheme val="minor"/>
      </rPr>
      <t>(T</t>
    </r>
    <r>
      <rPr>
        <vertAlign val="subscript"/>
        <sz val="10"/>
        <rFont val="Arial"/>
        <family val="2"/>
      </rPr>
      <t>C</t>
    </r>
    <r>
      <rPr>
        <sz val="11"/>
        <color theme="1"/>
        <rFont val="Calibri"/>
        <family val="2"/>
        <scheme val="minor"/>
      </rPr>
      <t>)</t>
    </r>
  </si>
  <si>
    <t>Se si vuole l'ordinata per un T assegnato:</t>
  </si>
  <si>
    <t>T</t>
  </si>
  <si>
    <r>
      <t xml:space="preserve">Sd(T) </t>
    </r>
    <r>
      <rPr>
        <sz val="8"/>
        <rFont val="Arial"/>
        <family val="2"/>
      </rPr>
      <t>SLD</t>
    </r>
  </si>
  <si>
    <r>
      <t xml:space="preserve">Sd(T) </t>
    </r>
    <r>
      <rPr>
        <sz val="8"/>
        <rFont val="Arial"/>
        <family val="2"/>
      </rPr>
      <t>SLV</t>
    </r>
  </si>
  <si>
    <t xml:space="preserve">13-14, </t>
  </si>
  <si>
    <t>15-16,</t>
  </si>
  <si>
    <t>7-8, 11-12</t>
  </si>
  <si>
    <t>h [m] =</t>
  </si>
  <si>
    <t>g1d</t>
  </si>
  <si>
    <t>Travi 30 X 70</t>
  </si>
  <si>
    <t>Pilastro meno</t>
  </si>
  <si>
    <t>sollecitato</t>
  </si>
  <si>
    <t>Pilastro maggiormente</t>
  </si>
  <si>
    <t>trave emergente</t>
  </si>
  <si>
    <t>trave a spessore</t>
  </si>
  <si>
    <t>Campata</t>
  </si>
  <si>
    <r>
      <t>g2d + qd</t>
    </r>
    <r>
      <rPr>
        <sz val="7.7"/>
        <color theme="1"/>
        <rFont val="Calibri"/>
        <family val="2"/>
      </rPr>
      <t xml:space="preserve"> </t>
    </r>
  </si>
  <si>
    <t>Telaio 1</t>
  </si>
  <si>
    <t>g2d+qd</t>
  </si>
  <si>
    <t>Solaio tipo totale</t>
  </si>
  <si>
    <r>
      <t xml:space="preserve">g2k + </t>
    </r>
    <r>
      <rPr>
        <sz val="12"/>
        <color theme="1"/>
        <rFont val="Symbol"/>
        <family val="1"/>
        <charset val="2"/>
      </rPr>
      <t>y</t>
    </r>
    <r>
      <rPr>
        <sz val="12"/>
        <color theme="1"/>
        <rFont val="Calibri"/>
        <family val="2"/>
      </rPr>
      <t xml:space="preserve">2 </t>
    </r>
    <r>
      <rPr>
        <sz val="12"/>
        <color theme="1"/>
        <rFont val="Calibri"/>
        <family val="2"/>
        <scheme val="minor"/>
      </rPr>
      <t>qk</t>
    </r>
    <r>
      <rPr>
        <sz val="7.7"/>
        <color theme="1"/>
        <rFont val="Calibri"/>
        <family val="2"/>
      </rPr>
      <t xml:space="preserve"> </t>
    </r>
  </si>
  <si>
    <t>7  ORDINE</t>
  </si>
  <si>
    <t>6  5 ORDINE</t>
  </si>
  <si>
    <t>4  3 ORDINE</t>
  </si>
  <si>
    <t>1 ORDINE</t>
  </si>
  <si>
    <t>19-20</t>
  </si>
  <si>
    <t>20-21</t>
  </si>
  <si>
    <t>21-22</t>
  </si>
  <si>
    <r>
      <t>g2k+</t>
    </r>
    <r>
      <rPr>
        <sz val="10"/>
        <rFont val="Symbol"/>
        <family val="1"/>
        <charset val="2"/>
      </rPr>
      <t>y</t>
    </r>
    <r>
      <rPr>
        <sz val="10"/>
        <rFont val="Arial"/>
        <family val="2"/>
      </rPr>
      <t>2 qk</t>
    </r>
  </si>
  <si>
    <r>
      <t>g2k+</t>
    </r>
    <r>
      <rPr>
        <sz val="10"/>
        <rFont val="Symbol"/>
        <family val="1"/>
        <charset val="2"/>
      </rPr>
      <t>y</t>
    </r>
    <r>
      <rPr>
        <sz val="10"/>
        <color theme="1"/>
        <rFont val="Calibri"/>
        <family val="2"/>
        <scheme val="minor"/>
      </rPr>
      <t>2</t>
    </r>
    <r>
      <rPr>
        <sz val="10"/>
        <rFont val="Arial"/>
        <family val="2"/>
      </rPr>
      <t xml:space="preserve"> </t>
    </r>
    <r>
      <rPr>
        <sz val="10"/>
        <color theme="1"/>
        <rFont val="Calibri"/>
        <family val="2"/>
        <scheme val="minor"/>
      </rPr>
      <t>qk</t>
    </r>
  </si>
  <si>
    <t>Telaio 2</t>
  </si>
  <si>
    <t>6, 5  ORDINE</t>
  </si>
  <si>
    <t>4, 3  ORDINE</t>
  </si>
  <si>
    <t>2  ORDINE</t>
  </si>
  <si>
    <t>1  ORDINE</t>
  </si>
  <si>
    <t>14 - 15</t>
  </si>
  <si>
    <t>13 - 14</t>
  </si>
  <si>
    <t>15 - 16</t>
  </si>
  <si>
    <t>16 - 17</t>
  </si>
  <si>
    <t>17 - 18</t>
  </si>
  <si>
    <t>Telaio 3</t>
  </si>
  <si>
    <t>7 - 8</t>
  </si>
  <si>
    <t>8 - 9</t>
  </si>
  <si>
    <t>9 - 10</t>
  </si>
  <si>
    <t>10 - 11</t>
  </si>
  <si>
    <t>11 - 12</t>
  </si>
  <si>
    <t>Telaio 4</t>
  </si>
  <si>
    <t>1-2</t>
  </si>
  <si>
    <t>2-3</t>
  </si>
  <si>
    <t>Telaio 5</t>
  </si>
  <si>
    <t>4-5</t>
  </si>
  <si>
    <t>5-6</t>
  </si>
  <si>
    <t>Telaio 6</t>
  </si>
  <si>
    <t>7 - 13</t>
  </si>
  <si>
    <t>1 - 7</t>
  </si>
  <si>
    <t>13 - 19</t>
  </si>
  <si>
    <t>Telaio 7</t>
  </si>
  <si>
    <t>2 - 8</t>
  </si>
  <si>
    <t>8 - 14</t>
  </si>
  <si>
    <t>14 - 20</t>
  </si>
  <si>
    <t>Telaio 8</t>
  </si>
  <si>
    <t>3 - 9</t>
  </si>
  <si>
    <t>9 - 15</t>
  </si>
  <si>
    <t>15 - 21</t>
  </si>
  <si>
    <t>Telaio 9</t>
  </si>
  <si>
    <t>4 - 10</t>
  </si>
  <si>
    <t>10 - 16</t>
  </si>
  <si>
    <t>5 - 11</t>
  </si>
  <si>
    <t>11 - 17</t>
  </si>
  <si>
    <t>17 - 23</t>
  </si>
  <si>
    <t>6 - 12</t>
  </si>
  <si>
    <t>12 - 18</t>
  </si>
  <si>
    <t>18 - 24</t>
  </si>
  <si>
    <t>Telaio 10</t>
  </si>
  <si>
    <t>Telaio 11</t>
  </si>
  <si>
    <t>IV e III  Impalcato</t>
  </si>
  <si>
    <t>II  Impalcato</t>
  </si>
  <si>
    <t>VI e V  Impalcato</t>
  </si>
  <si>
    <t>VII  Impalcato</t>
  </si>
  <si>
    <t>Pilastri 30 X 70 1° impalcato</t>
  </si>
  <si>
    <t>Pilastri 30 X 70  2°- 4° impalcato</t>
  </si>
  <si>
    <t>Pilastri 30 X 70 5°- 6° impalcato</t>
  </si>
  <si>
    <t>Pilastri 30 X 70 7° impalcato</t>
  </si>
  <si>
    <t>Pilastro 30 X 70 I impalcato</t>
  </si>
  <si>
    <t>Pilastro 30 X 70   II - IV impalcato</t>
  </si>
  <si>
    <t>Pilastro 30 X 70   V - VI impalcato</t>
  </si>
  <si>
    <t>Pilastri 30 X 50 7° impalcato</t>
  </si>
  <si>
    <t>Pilastro 30 X 50    VII impalcato</t>
  </si>
  <si>
    <t>MASSA</t>
  </si>
  <si>
    <t>Forze per Analisi Statica</t>
  </si>
  <si>
    <t>con periodo approssimato</t>
  </si>
  <si>
    <t>C</t>
  </si>
  <si>
    <t>suolo B</t>
  </si>
  <si>
    <t>q</t>
  </si>
  <si>
    <t>H</t>
  </si>
  <si>
    <t>Sd</t>
  </si>
  <si>
    <t>W/sup.</t>
  </si>
  <si>
    <t>z</t>
  </si>
  <si>
    <t>Wz</t>
  </si>
  <si>
    <t>Fi</t>
  </si>
  <si>
    <t>Vi</t>
  </si>
  <si>
    <t>KN</t>
  </si>
  <si>
    <t>IMPALCATO</t>
  </si>
  <si>
    <t xml:space="preserve">LA MIA TRAVE è INTERNA E NON PERIMETRALE </t>
  </si>
  <si>
    <t>X Baricentro</t>
  </si>
  <si>
    <t>Y Baricentro</t>
  </si>
  <si>
    <t>r Inerzia</t>
  </si>
  <si>
    <t>Parametri</t>
  </si>
  <si>
    <t>spettro</t>
  </si>
  <si>
    <t>ag</t>
  </si>
  <si>
    <t>S</t>
  </si>
  <si>
    <t>Fo</t>
  </si>
  <si>
    <r>
      <t>T</t>
    </r>
    <r>
      <rPr>
        <sz val="9"/>
        <color theme="1"/>
        <rFont val="Calibri"/>
        <family val="2"/>
        <scheme val="minor"/>
      </rPr>
      <t>B</t>
    </r>
  </si>
  <si>
    <r>
      <t>T</t>
    </r>
    <r>
      <rPr>
        <sz val="9"/>
        <color theme="1"/>
        <rFont val="Calibri"/>
        <family val="2"/>
        <scheme val="minor"/>
      </rPr>
      <t>C</t>
    </r>
  </si>
  <si>
    <r>
      <t>T</t>
    </r>
    <r>
      <rPr>
        <sz val="9"/>
        <color theme="1"/>
        <rFont val="Calibri"/>
        <family val="2"/>
        <scheme val="minor"/>
      </rPr>
      <t>D</t>
    </r>
  </si>
  <si>
    <t>edificio</t>
  </si>
  <si>
    <t>spettro elastico</t>
  </si>
  <si>
    <t>Se</t>
  </si>
  <si>
    <t>fattore di struttura</t>
  </si>
  <si>
    <t>CD "B"</t>
  </si>
  <si>
    <t>q0</t>
  </si>
  <si>
    <t>x</t>
  </si>
  <si>
    <t>KR</t>
  </si>
  <si>
    <t>Forze per analisi statica</t>
  </si>
  <si>
    <t>TOTALE</t>
  </si>
  <si>
    <t>Lx</t>
  </si>
  <si>
    <t>Ly</t>
  </si>
  <si>
    <t>m</t>
  </si>
  <si>
    <t>ex</t>
  </si>
  <si>
    <t>ey</t>
  </si>
  <si>
    <t>Fx ey</t>
  </si>
  <si>
    <t>Fy ex</t>
  </si>
  <si>
    <t>19 - 13</t>
  </si>
  <si>
    <t>13 - 7</t>
  </si>
  <si>
    <t>7 - 1</t>
  </si>
  <si>
    <t>20 - 14</t>
  </si>
  <si>
    <t>14 - 8</t>
  </si>
  <si>
    <t>8 - 2</t>
  </si>
  <si>
    <t>21 - 15</t>
  </si>
  <si>
    <t>15 - 9</t>
  </si>
  <si>
    <t>9 - 3</t>
  </si>
  <si>
    <t>22 - 16</t>
  </si>
  <si>
    <t>16 - 10</t>
  </si>
  <si>
    <t>10 - 4</t>
  </si>
  <si>
    <t>23 - 17</t>
  </si>
  <si>
    <t>17 - 11</t>
  </si>
  <si>
    <t>11 - 5</t>
  </si>
  <si>
    <r>
      <t xml:space="preserve">sono necessarie 5 </t>
    </r>
    <r>
      <rPr>
        <sz val="12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scheme val="minor"/>
      </rPr>
      <t xml:space="preserve"> 20</t>
    </r>
  </si>
  <si>
    <r>
      <t xml:space="preserve">Massa </t>
    </r>
    <r>
      <rPr>
        <i/>
        <sz val="11"/>
        <color theme="1"/>
        <rFont val="Calibri"/>
        <family val="2"/>
        <scheme val="minor"/>
      </rPr>
      <t xml:space="preserve">m </t>
    </r>
    <r>
      <rPr>
        <sz val="11"/>
        <color theme="1"/>
        <rFont val="Calibri"/>
        <family val="2"/>
        <scheme val="minor"/>
      </rPr>
      <t>[t]</t>
    </r>
  </si>
  <si>
    <t>M PIL * 1,3</t>
  </si>
  <si>
    <t>Altezza Interpiano</t>
  </si>
  <si>
    <t>h pilastro netta=</t>
  </si>
  <si>
    <t>pilastri direzione y</t>
  </si>
  <si>
    <t>QUINDI NON FACCIO INCREMENTI</t>
  </si>
  <si>
    <t>Torrino + 7</t>
  </si>
  <si>
    <t>6, 5, 4, 3</t>
  </si>
  <si>
    <t>1 (bloccato)</t>
  </si>
  <si>
    <t>Totale (senza Imp. I)</t>
  </si>
  <si>
    <t>VII [m2]</t>
  </si>
  <si>
    <t>VI, V, IV, III [m2]</t>
  </si>
  <si>
    <t>II [m2]</t>
  </si>
  <si>
    <t>I [m2]</t>
  </si>
  <si>
    <t>q (CD"B")=</t>
  </si>
  <si>
    <t>Momento per carichi verticali   (con sisma)</t>
  </si>
  <si>
    <t>q (con sisma) =</t>
  </si>
  <si>
    <t>Area A [m2]</t>
  </si>
  <si>
    <t xml:space="preserve"> Peso W [kN]</t>
  </si>
  <si>
    <t>7 + torrino</t>
  </si>
  <si>
    <t>eccentricità</t>
  </si>
  <si>
    <t>incremento 20% + Moltiplicazione 1,3 Momento Pilastro (CD"B")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</si>
</sst>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%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11"/>
      <color rgb="FF1B930B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sz val="10"/>
      <color indexed="10"/>
      <name val="Arial"/>
      <family val="2"/>
    </font>
    <font>
      <vertAlign val="subscript"/>
      <sz val="10"/>
      <name val="Arial"/>
      <family val="2"/>
    </font>
    <font>
      <sz val="10"/>
      <color indexed="53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color indexed="81"/>
      <name val="Tahoma"/>
      <family val="2"/>
    </font>
    <font>
      <sz val="11"/>
      <color theme="7"/>
      <name val="Calibri"/>
      <family val="2"/>
      <scheme val="minor"/>
    </font>
    <font>
      <sz val="7.7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Symbol"/>
      <family val="1"/>
      <charset val="2"/>
    </font>
    <font>
      <sz val="12"/>
      <color theme="1"/>
      <name val="Calibri"/>
      <family val="2"/>
      <scheme val="minor"/>
    </font>
    <font>
      <sz val="11"/>
      <color rgb="FFCC00CC"/>
      <name val="Calibri"/>
      <family val="2"/>
      <scheme val="minor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10"/>
      <color indexed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B8B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00CC"/>
        <bgColor indexed="64"/>
      </patternFill>
    </fill>
    <fill>
      <patternFill patternType="solid">
        <fgColor rgb="FF2BE81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1" fillId="0" borderId="0" applyFont="0" applyFill="0" applyBorder="0" applyAlignment="0" applyProtection="0"/>
  </cellStyleXfs>
  <cellXfs count="621">
    <xf numFmtId="0" fontId="0" fillId="0" borderId="0" xfId="0"/>
    <xf numFmtId="0" fontId="0" fillId="0" borderId="3" xfId="0" applyBorder="1"/>
    <xf numFmtId="0" fontId="0" fillId="0" borderId="2" xfId="0" applyBorder="1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Fill="1" applyBorder="1"/>
    <xf numFmtId="0" fontId="0" fillId="0" borderId="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6" xfId="0" applyFill="1" applyBorder="1"/>
    <xf numFmtId="0" fontId="0" fillId="0" borderId="7" xfId="0" applyBorder="1" applyAlignment="1">
      <alignment horizontal="center" vertical="center"/>
    </xf>
    <xf numFmtId="2" fontId="0" fillId="3" borderId="9" xfId="0" applyNumberFormat="1" applyFill="1" applyBorder="1" applyAlignment="1">
      <alignment horizontal="center" vertical="center"/>
    </xf>
    <xf numFmtId="0" fontId="0" fillId="0" borderId="3" xfId="0" applyFill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 applyAlignment="1">
      <alignment horizontal="center" vertical="center"/>
    </xf>
    <xf numFmtId="0" fontId="0" fillId="6" borderId="6" xfId="0" applyFill="1" applyBorder="1"/>
    <xf numFmtId="0" fontId="0" fillId="0" borderId="4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3" xfId="0" applyFill="1" applyBorder="1"/>
    <xf numFmtId="0" fontId="0" fillId="3" borderId="1" xfId="0" applyFill="1" applyBorder="1"/>
    <xf numFmtId="0" fontId="3" fillId="7" borderId="2" xfId="0" applyFont="1" applyFill="1" applyBorder="1"/>
    <xf numFmtId="0" fontId="3" fillId="7" borderId="5" xfId="0" applyFont="1" applyFill="1" applyBorder="1" applyAlignment="1">
      <alignment horizontal="center" vertical="center"/>
    </xf>
    <xf numFmtId="0" fontId="0" fillId="3" borderId="8" xfId="0" applyFill="1" applyBorder="1"/>
    <xf numFmtId="0" fontId="0" fillId="3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1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6" xfId="0" applyBorder="1"/>
    <xf numFmtId="0" fontId="0" fillId="6" borderId="8" xfId="0" applyFill="1" applyBorder="1"/>
    <xf numFmtId="2" fontId="0" fillId="0" borderId="4" xfId="0" applyNumberForma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5" borderId="12" xfId="0" applyFill="1" applyBorder="1"/>
    <xf numFmtId="0" fontId="0" fillId="5" borderId="0" xfId="0" applyFill="1" applyBorder="1"/>
    <xf numFmtId="2" fontId="0" fillId="6" borderId="7" xfId="0" applyNumberFormat="1" applyFill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4" xfId="0" applyFill="1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0" borderId="12" xfId="0" applyBorder="1"/>
    <xf numFmtId="0" fontId="0" fillId="5" borderId="12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8" xfId="0" applyBorder="1"/>
    <xf numFmtId="0" fontId="0" fillId="11" borderId="1" xfId="0" applyFill="1" applyBorder="1"/>
    <xf numFmtId="0" fontId="0" fillId="0" borderId="1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6" fillId="0" borderId="0" xfId="0" applyFont="1"/>
    <xf numFmtId="0" fontId="0" fillId="6" borderId="0" xfId="0" applyFill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 vertical="center"/>
    </xf>
    <xf numFmtId="0" fontId="0" fillId="5" borderId="0" xfId="0" applyFill="1"/>
    <xf numFmtId="164" fontId="0" fillId="5" borderId="0" xfId="0" applyNumberForma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165" fontId="0" fillId="6" borderId="4" xfId="0" applyNumberForma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0" xfId="0" applyFont="1" applyFill="1" applyBorder="1"/>
    <xf numFmtId="0" fontId="3" fillId="5" borderId="0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5" borderId="2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2" fontId="0" fillId="6" borderId="9" xfId="0" applyNumberFormat="1" applyFill="1" applyBorder="1" applyAlignment="1">
      <alignment horizontal="center" vertical="center"/>
    </xf>
    <xf numFmtId="2" fontId="0" fillId="9" borderId="6" xfId="0" applyNumberFormat="1" applyFill="1" applyBorder="1" applyAlignment="1">
      <alignment horizontal="center" vertical="center"/>
    </xf>
    <xf numFmtId="2" fontId="0" fillId="9" borderId="11" xfId="0" applyNumberFormat="1" applyFill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14" borderId="0" xfId="0" applyFill="1"/>
    <xf numFmtId="0" fontId="0" fillId="15" borderId="0" xfId="0" applyFill="1"/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8" xfId="0" applyBorder="1" applyAlignment="1">
      <alignment horizontal="center"/>
    </xf>
    <xf numFmtId="0" fontId="8" fillId="12" borderId="14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6" borderId="0" xfId="0" applyFill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2" fontId="0" fillId="4" borderId="9" xfId="0" applyNumberForma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4" borderId="6" xfId="0" applyFill="1" applyBorder="1" applyAlignment="1">
      <alignment horizontal="center" vertical="center"/>
    </xf>
    <xf numFmtId="2" fontId="0" fillId="4" borderId="7" xfId="0" applyNumberForma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/>
    </xf>
    <xf numFmtId="0" fontId="3" fillId="6" borderId="8" xfId="0" applyFont="1" applyFill="1" applyBorder="1"/>
    <xf numFmtId="0" fontId="3" fillId="6" borderId="9" xfId="0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6" xfId="0" applyFont="1" applyFill="1" applyBorder="1"/>
    <xf numFmtId="0" fontId="3" fillId="3" borderId="8" xfId="0" applyFont="1" applyFill="1" applyBorder="1"/>
    <xf numFmtId="2" fontId="3" fillId="3" borderId="9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11" borderId="1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17" borderId="14" xfId="0" applyFill="1" applyBorder="1" applyAlignment="1">
      <alignment horizontal="center"/>
    </xf>
    <xf numFmtId="0" fontId="0" fillId="17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11" borderId="0" xfId="0" applyNumberFormat="1" applyFill="1" applyAlignment="1">
      <alignment horizontal="center"/>
    </xf>
    <xf numFmtId="0" fontId="11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18" borderId="6" xfId="0" applyFill="1" applyBorder="1" applyAlignment="1">
      <alignment horizontal="center"/>
    </xf>
    <xf numFmtId="2" fontId="0" fillId="18" borderId="7" xfId="0" applyNumberForma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11" borderId="2" xfId="0" applyNumberFormat="1" applyFill="1" applyBorder="1" applyAlignment="1">
      <alignment horizontal="center"/>
    </xf>
    <xf numFmtId="2" fontId="0" fillId="11" borderId="6" xfId="0" applyNumberFormat="1" applyFill="1" applyBorder="1" applyAlignment="1">
      <alignment horizontal="center"/>
    </xf>
    <xf numFmtId="2" fontId="0" fillId="11" borderId="13" xfId="0" applyNumberFormat="1" applyFill="1" applyBorder="1" applyAlignment="1">
      <alignment horizontal="center"/>
    </xf>
    <xf numFmtId="2" fontId="0" fillId="11" borderId="5" xfId="0" applyNumberFormat="1" applyFill="1" applyBorder="1" applyAlignment="1">
      <alignment horizontal="center"/>
    </xf>
    <xf numFmtId="2" fontId="0" fillId="11" borderId="7" xfId="0" applyNumberFormat="1" applyFill="1" applyBorder="1" applyAlignment="1">
      <alignment horizontal="center"/>
    </xf>
    <xf numFmtId="2" fontId="0" fillId="11" borderId="3" xfId="0" applyNumberFormat="1" applyFill="1" applyBorder="1" applyAlignment="1">
      <alignment horizontal="center"/>
    </xf>
    <xf numFmtId="2" fontId="0" fillId="11" borderId="12" xfId="0" applyNumberFormat="1" applyFill="1" applyBorder="1" applyAlignment="1">
      <alignment horizontal="center"/>
    </xf>
    <xf numFmtId="2" fontId="0" fillId="11" borderId="4" xfId="0" applyNumberFormat="1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/>
    <xf numFmtId="2" fontId="6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6" fillId="5" borderId="0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5" borderId="0" xfId="0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/>
    <xf numFmtId="164" fontId="0" fillId="5" borderId="15" xfId="0" applyNumberFormat="1" applyFont="1" applyFill="1" applyBorder="1" applyAlignment="1">
      <alignment horizontal="center"/>
    </xf>
    <xf numFmtId="164" fontId="0" fillId="5" borderId="15" xfId="0" applyNumberFormat="1" applyFont="1" applyFill="1" applyBorder="1" applyAlignment="1">
      <alignment horizontal="center" vertical="center"/>
    </xf>
    <xf numFmtId="2" fontId="0" fillId="0" borderId="0" xfId="0" applyNumberFormat="1" applyBorder="1"/>
    <xf numFmtId="0" fontId="0" fillId="0" borderId="13" xfId="0" applyBorder="1"/>
    <xf numFmtId="2" fontId="0" fillId="5" borderId="0" xfId="0" applyNumberFormat="1" applyFont="1" applyFill="1" applyBorder="1" applyAlignment="1">
      <alignment horizontal="center"/>
    </xf>
    <xf numFmtId="2" fontId="0" fillId="5" borderId="5" xfId="0" applyNumberFormat="1" applyFont="1" applyFill="1" applyBorder="1" applyAlignment="1">
      <alignment horizontal="center"/>
    </xf>
    <xf numFmtId="2" fontId="0" fillId="5" borderId="15" xfId="0" applyNumberFormat="1" applyFont="1" applyFill="1" applyBorder="1" applyAlignment="1">
      <alignment horizontal="center"/>
    </xf>
    <xf numFmtId="2" fontId="0" fillId="5" borderId="2" xfId="0" applyNumberFormat="1" applyFont="1" applyFill="1" applyBorder="1" applyAlignment="1">
      <alignment horizontal="center"/>
    </xf>
    <xf numFmtId="2" fontId="6" fillId="5" borderId="0" xfId="0" applyNumberFormat="1" applyFont="1" applyFill="1" applyBorder="1"/>
    <xf numFmtId="2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" fontId="0" fillId="5" borderId="10" xfId="0" applyNumberFormat="1" applyFill="1" applyBorder="1" applyAlignment="1">
      <alignment horizontal="center"/>
    </xf>
    <xf numFmtId="2" fontId="0" fillId="11" borderId="15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5" borderId="15" xfId="0" applyNumberFormat="1" applyFill="1" applyBorder="1" applyAlignment="1">
      <alignment horizontal="center" vertical="center"/>
    </xf>
    <xf numFmtId="2" fontId="0" fillId="19" borderId="3" xfId="0" applyNumberFormat="1" applyFill="1" applyBorder="1" applyAlignment="1">
      <alignment horizontal="center"/>
    </xf>
    <xf numFmtId="2" fontId="0" fillId="19" borderId="4" xfId="0" applyNumberFormat="1" applyFill="1" applyBorder="1" applyAlignment="1">
      <alignment horizontal="center"/>
    </xf>
    <xf numFmtId="2" fontId="0" fillId="19" borderId="0" xfId="0" applyNumberFormat="1" applyFill="1" applyAlignment="1">
      <alignment horizontal="center"/>
    </xf>
    <xf numFmtId="2" fontId="0" fillId="19" borderId="2" xfId="0" applyNumberFormat="1" applyFill="1" applyBorder="1" applyAlignment="1">
      <alignment horizontal="center"/>
    </xf>
    <xf numFmtId="2" fontId="0" fillId="19" borderId="6" xfId="0" applyNumberFormat="1" applyFill="1" applyBorder="1" applyAlignment="1">
      <alignment horizontal="center"/>
    </xf>
    <xf numFmtId="2" fontId="0" fillId="19" borderId="7" xfId="0" applyNumberFormat="1" applyFill="1" applyBorder="1" applyAlignment="1">
      <alignment horizontal="center"/>
    </xf>
    <xf numFmtId="0" fontId="0" fillId="19" borderId="0" xfId="0" applyFill="1" applyAlignment="1">
      <alignment horizontal="center"/>
    </xf>
    <xf numFmtId="0" fontId="0" fillId="20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1" borderId="0" xfId="0" applyFill="1" applyAlignment="1">
      <alignment horizontal="center"/>
    </xf>
    <xf numFmtId="2" fontId="0" fillId="9" borderId="12" xfId="0" applyNumberFormat="1" applyFill="1" applyBorder="1" applyAlignment="1">
      <alignment horizontal="center"/>
    </xf>
    <xf numFmtId="2" fontId="0" fillId="9" borderId="0" xfId="0" applyNumberFormat="1" applyFill="1" applyAlignment="1">
      <alignment horizontal="center"/>
    </xf>
    <xf numFmtId="2" fontId="0" fillId="9" borderId="13" xfId="0" applyNumberFormat="1" applyFill="1" applyBorder="1" applyAlignment="1">
      <alignment horizontal="center"/>
    </xf>
    <xf numFmtId="2" fontId="3" fillId="21" borderId="0" xfId="0" applyNumberFormat="1" applyFont="1" applyFill="1" applyAlignment="1">
      <alignment horizontal="center"/>
    </xf>
    <xf numFmtId="2" fontId="3" fillId="21" borderId="13" xfId="0" applyNumberFormat="1" applyFont="1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21" borderId="2" xfId="0" applyNumberFormat="1" applyFill="1" applyBorder="1" applyAlignment="1">
      <alignment horizontal="center"/>
    </xf>
    <xf numFmtId="2" fontId="0" fillId="21" borderId="0" xfId="0" applyNumberFormat="1" applyFill="1" applyAlignment="1">
      <alignment horizontal="center"/>
    </xf>
    <xf numFmtId="2" fontId="0" fillId="19" borderId="13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2" fontId="0" fillId="9" borderId="5" xfId="0" applyNumberFormat="1" applyFill="1" applyBorder="1" applyAlignment="1">
      <alignment horizontal="center"/>
    </xf>
    <xf numFmtId="0" fontId="0" fillId="22" borderId="0" xfId="0" applyFill="1" applyAlignment="1">
      <alignment horizontal="center"/>
    </xf>
    <xf numFmtId="2" fontId="0" fillId="22" borderId="13" xfId="0" applyNumberFormat="1" applyFill="1" applyBorder="1" applyAlignment="1">
      <alignment horizontal="center"/>
    </xf>
    <xf numFmtId="2" fontId="0" fillId="21" borderId="13" xfId="0" applyNumberFormat="1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2" fontId="0" fillId="4" borderId="4" xfId="0" applyNumberForma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2" fontId="0" fillId="4" borderId="6" xfId="0" applyNumberFormat="1" applyFill="1" applyBorder="1" applyAlignment="1">
      <alignment horizontal="center"/>
    </xf>
    <xf numFmtId="2" fontId="0" fillId="16" borderId="3" xfId="0" applyNumberFormat="1" applyFill="1" applyBorder="1" applyAlignment="1">
      <alignment horizontal="center"/>
    </xf>
    <xf numFmtId="2" fontId="0" fillId="16" borderId="4" xfId="0" applyNumberFormat="1" applyFill="1" applyBorder="1" applyAlignment="1">
      <alignment horizontal="center"/>
    </xf>
    <xf numFmtId="2" fontId="0" fillId="16" borderId="2" xfId="0" applyNumberFormat="1" applyFill="1" applyBorder="1" applyAlignment="1">
      <alignment horizontal="center"/>
    </xf>
    <xf numFmtId="2" fontId="0" fillId="16" borderId="0" xfId="0" applyNumberFormat="1" applyFill="1" applyAlignment="1">
      <alignment horizontal="center"/>
    </xf>
    <xf numFmtId="2" fontId="0" fillId="16" borderId="6" xfId="0" applyNumberFormat="1" applyFill="1" applyBorder="1" applyAlignment="1">
      <alignment horizontal="center"/>
    </xf>
    <xf numFmtId="2" fontId="0" fillId="16" borderId="7" xfId="0" applyNumberFormat="1" applyFill="1" applyBorder="1" applyAlignment="1">
      <alignment horizontal="center"/>
    </xf>
    <xf numFmtId="9" fontId="0" fillId="24" borderId="6" xfId="0" applyNumberFormat="1" applyFill="1" applyBorder="1" applyAlignment="1">
      <alignment horizontal="center"/>
    </xf>
    <xf numFmtId="2" fontId="0" fillId="24" borderId="7" xfId="0" applyNumberFormat="1" applyFill="1" applyBorder="1" applyAlignment="1">
      <alignment horizontal="center"/>
    </xf>
    <xf numFmtId="0" fontId="0" fillId="24" borderId="8" xfId="0" applyFill="1" applyBorder="1" applyAlignment="1">
      <alignment horizontal="center"/>
    </xf>
    <xf numFmtId="2" fontId="0" fillId="24" borderId="9" xfId="0" applyNumberFormat="1" applyFill="1" applyBorder="1" applyAlignment="1">
      <alignment horizontal="center"/>
    </xf>
    <xf numFmtId="2" fontId="0" fillId="25" borderId="13" xfId="0" applyNumberFormat="1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0" fillId="15" borderId="0" xfId="0" applyFill="1" applyAlignment="1">
      <alignment horizontal="center"/>
    </xf>
    <xf numFmtId="2" fontId="0" fillId="3" borderId="12" xfId="0" applyNumberFormat="1" applyFill="1" applyBorder="1" applyAlignment="1">
      <alignment horizontal="center"/>
    </xf>
    <xf numFmtId="2" fontId="0" fillId="3" borderId="13" xfId="0" applyNumberFormat="1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2" fontId="0" fillId="15" borderId="13" xfId="0" applyNumberFormat="1" applyFill="1" applyBorder="1" applyAlignment="1">
      <alignment horizontal="center"/>
    </xf>
    <xf numFmtId="2" fontId="0" fillId="4" borderId="12" xfId="0" applyNumberFormat="1" applyFill="1" applyBorder="1" applyAlignment="1">
      <alignment horizontal="center"/>
    </xf>
    <xf numFmtId="2" fontId="0" fillId="4" borderId="13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2" fontId="0" fillId="16" borderId="13" xfId="0" applyNumberFormat="1" applyFill="1" applyBorder="1" applyAlignment="1">
      <alignment horizontal="center"/>
    </xf>
    <xf numFmtId="2" fontId="0" fillId="23" borderId="2" xfId="0" applyNumberFormat="1" applyFill="1" applyBorder="1" applyAlignment="1">
      <alignment horizontal="center"/>
    </xf>
    <xf numFmtId="2" fontId="0" fillId="23" borderId="0" xfId="0" applyNumberFormat="1" applyFill="1" applyAlignment="1">
      <alignment horizontal="center"/>
    </xf>
    <xf numFmtId="2" fontId="0" fillId="3" borderId="5" xfId="0" applyNumberFormat="1" applyFill="1" applyBorder="1" applyAlignment="1">
      <alignment horizontal="center"/>
    </xf>
    <xf numFmtId="0" fontId="0" fillId="25" borderId="0" xfId="0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24" borderId="0" xfId="0" applyNumberFormat="1" applyFill="1" applyBorder="1" applyAlignment="1">
      <alignment horizontal="center"/>
    </xf>
    <xf numFmtId="0" fontId="0" fillId="24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ont="1" applyFill="1" applyBorder="1" applyAlignment="1">
      <alignment horizontal="center" vertical="center"/>
    </xf>
    <xf numFmtId="0" fontId="0" fillId="0" borderId="1" xfId="0" applyBorder="1"/>
    <xf numFmtId="0" fontId="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0" fillId="5" borderId="0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2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/>
    </xf>
    <xf numFmtId="0" fontId="12" fillId="6" borderId="3" xfId="0" applyFont="1" applyFill="1" applyBorder="1"/>
    <xf numFmtId="2" fontId="12" fillId="6" borderId="4" xfId="0" applyNumberFormat="1" applyFont="1" applyFill="1" applyBorder="1" applyAlignment="1">
      <alignment horizontal="center" vertical="center"/>
    </xf>
    <xf numFmtId="0" fontId="0" fillId="0" borderId="8" xfId="0" applyFill="1" applyBorder="1"/>
    <xf numFmtId="2" fontId="3" fillId="0" borderId="0" xfId="0" applyNumberFormat="1" applyFont="1" applyBorder="1" applyAlignment="1">
      <alignment horizontal="center"/>
    </xf>
    <xf numFmtId="2" fontId="0" fillId="13" borderId="9" xfId="0" applyNumberFormat="1" applyFill="1" applyBorder="1" applyAlignment="1">
      <alignment horizontal="center"/>
    </xf>
    <xf numFmtId="0" fontId="6" fillId="0" borderId="0" xfId="0" applyFont="1" applyBorder="1"/>
    <xf numFmtId="0" fontId="0" fillId="6" borderId="11" xfId="0" applyFill="1" applyBorder="1" applyAlignment="1">
      <alignment horizontal="center"/>
    </xf>
    <xf numFmtId="0" fontId="0" fillId="6" borderId="14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 indent="1"/>
    </xf>
    <xf numFmtId="2" fontId="0" fillId="0" borderId="6" xfId="0" applyNumberFormat="1" applyBorder="1" applyAlignment="1">
      <alignment horizontal="center"/>
    </xf>
    <xf numFmtId="0" fontId="12" fillId="5" borderId="0" xfId="0" applyFont="1" applyFill="1" applyBorder="1" applyAlignment="1">
      <alignment horizontal="center" vertical="center"/>
    </xf>
    <xf numFmtId="2" fontId="12" fillId="5" borderId="0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0" fontId="3" fillId="0" borderId="3" xfId="0" applyFont="1" applyBorder="1"/>
    <xf numFmtId="2" fontId="3" fillId="0" borderId="5" xfId="0" applyNumberFormat="1" applyFont="1" applyBorder="1" applyAlignment="1">
      <alignment horizontal="center" vertical="center"/>
    </xf>
    <xf numFmtId="0" fontId="18" fillId="0" borderId="2" xfId="0" applyFont="1" applyBorder="1"/>
    <xf numFmtId="2" fontId="18" fillId="0" borderId="5" xfId="0" applyNumberFormat="1" applyFont="1" applyBorder="1" applyAlignment="1">
      <alignment horizontal="center" vertical="center"/>
    </xf>
    <xf numFmtId="0" fontId="3" fillId="6" borderId="6" xfId="0" applyFont="1" applyFill="1" applyBorder="1"/>
    <xf numFmtId="2" fontId="3" fillId="6" borderId="7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5" xfId="0" applyFont="1" applyFill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3" xfId="0" applyNumberFormat="1" applyBorder="1" applyAlignment="1">
      <alignment horizontal="center"/>
    </xf>
    <xf numFmtId="16" fontId="0" fillId="0" borderId="12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165" fontId="0" fillId="13" borderId="1" xfId="0" applyNumberForma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11" borderId="9" xfId="0" applyNumberFormat="1" applyFill="1" applyBorder="1" applyAlignment="1">
      <alignment horizontal="center" vertical="center"/>
    </xf>
    <xf numFmtId="2" fontId="0" fillId="26" borderId="3" xfId="0" applyNumberFormat="1" applyFill="1" applyBorder="1" applyAlignment="1">
      <alignment horizontal="center"/>
    </xf>
    <xf numFmtId="2" fontId="0" fillId="26" borderId="4" xfId="0" applyNumberFormat="1" applyFill="1" applyBorder="1" applyAlignment="1">
      <alignment horizontal="center"/>
    </xf>
    <xf numFmtId="2" fontId="0" fillId="26" borderId="0" xfId="0" applyNumberFormat="1" applyFill="1" applyAlignment="1">
      <alignment horizontal="center"/>
    </xf>
    <xf numFmtId="2" fontId="0" fillId="26" borderId="5" xfId="0" applyNumberFormat="1" applyFill="1" applyBorder="1" applyAlignment="1">
      <alignment horizontal="center"/>
    </xf>
    <xf numFmtId="2" fontId="3" fillId="26" borderId="13" xfId="0" applyNumberFormat="1" applyFont="1" applyFill="1" applyBorder="1" applyAlignment="1">
      <alignment horizontal="center"/>
    </xf>
    <xf numFmtId="2" fontId="0" fillId="26" borderId="2" xfId="0" applyNumberFormat="1" applyFill="1" applyBorder="1" applyAlignment="1">
      <alignment horizontal="center"/>
    </xf>
    <xf numFmtId="2" fontId="0" fillId="21" borderId="5" xfId="0" applyNumberFormat="1" applyFill="1" applyBorder="1" applyAlignment="1">
      <alignment horizontal="center"/>
    </xf>
    <xf numFmtId="2" fontId="0" fillId="26" borderId="13" xfId="0" applyNumberFormat="1" applyFill="1" applyBorder="1" applyAlignment="1">
      <alignment horizontal="center"/>
    </xf>
    <xf numFmtId="0" fontId="0" fillId="24" borderId="2" xfId="0" applyFill="1" applyBorder="1" applyAlignment="1">
      <alignment horizontal="center"/>
    </xf>
    <xf numFmtId="0" fontId="22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Border="1" applyAlignment="1">
      <alignment horizontal="center" vertical="center"/>
    </xf>
    <xf numFmtId="164" fontId="22" fillId="0" borderId="0" xfId="0" applyNumberFormat="1" applyFont="1" applyBorder="1" applyAlignment="1" applyProtection="1">
      <alignment horizontal="center" vertical="center"/>
    </xf>
    <xf numFmtId="9" fontId="22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5" borderId="8" xfId="0" applyFill="1" applyBorder="1"/>
    <xf numFmtId="0" fontId="0" fillId="5" borderId="1" xfId="0" applyFill="1" applyBorder="1" applyAlignment="1">
      <alignment horizontal="center"/>
    </xf>
    <xf numFmtId="0" fontId="0" fillId="19" borderId="1" xfId="0" applyFill="1" applyBorder="1"/>
    <xf numFmtId="0" fontId="0" fillId="19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19" borderId="15" xfId="0" applyNumberForma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8" xfId="0" applyBorder="1"/>
    <xf numFmtId="164" fontId="0" fillId="3" borderId="9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27" borderId="1" xfId="0" applyNumberFormat="1" applyFill="1" applyBorder="1" applyAlignment="1">
      <alignment horizontal="center"/>
    </xf>
    <xf numFmtId="0" fontId="1" fillId="19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4" fillId="5" borderId="1" xfId="0" applyFont="1" applyFill="1" applyBorder="1" applyAlignment="1">
      <alignment horizontal="center"/>
    </xf>
    <xf numFmtId="0" fontId="3" fillId="5" borderId="1" xfId="0" applyFont="1" applyFill="1" applyBorder="1"/>
    <xf numFmtId="2" fontId="0" fillId="0" borderId="0" xfId="0" applyNumberForma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0" fillId="5" borderId="0" xfId="0" applyFont="1" applyFill="1" applyBorder="1" applyAlignment="1">
      <alignment horizontal="center"/>
    </xf>
    <xf numFmtId="0" fontId="37" fillId="0" borderId="0" xfId="0" applyFont="1"/>
    <xf numFmtId="0" fontId="25" fillId="0" borderId="0" xfId="0" applyFont="1"/>
    <xf numFmtId="0" fontId="25" fillId="0" borderId="0" xfId="0" quotePrefix="1" applyFont="1"/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0" fillId="0" borderId="0" xfId="0" applyFont="1" applyAlignment="1">
      <alignment horizontal="center"/>
    </xf>
    <xf numFmtId="0" fontId="13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" fontId="25" fillId="0" borderId="0" xfId="0" quotePrefix="1" applyNumberFormat="1" applyFont="1"/>
    <xf numFmtId="0" fontId="0" fillId="0" borderId="4" xfId="0" quotePrefix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7" xfId="0" quotePrefix="1" applyBorder="1" applyAlignment="1">
      <alignment horizontal="center"/>
    </xf>
    <xf numFmtId="16" fontId="0" fillId="0" borderId="5" xfId="0" quotePrefix="1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19" borderId="8" xfId="0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6" borderId="1" xfId="0" applyFill="1" applyBorder="1" applyAlignment="1">
      <alignment horizontal="center"/>
    </xf>
    <xf numFmtId="2" fontId="0" fillId="13" borderId="0" xfId="0" applyNumberFormat="1" applyFill="1" applyAlignment="1">
      <alignment horizontal="center"/>
    </xf>
    <xf numFmtId="2" fontId="3" fillId="13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26" borderId="11" xfId="0" applyNumberFormat="1" applyFill="1" applyBorder="1" applyAlignment="1">
      <alignment horizontal="center"/>
    </xf>
    <xf numFmtId="2" fontId="0" fillId="26" borderId="1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26" borderId="1" xfId="0" applyFill="1" applyBorder="1" applyAlignment="1">
      <alignment horizontal="center" vertical="center"/>
    </xf>
    <xf numFmtId="164" fontId="0" fillId="5" borderId="0" xfId="0" applyNumberForma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11" borderId="0" xfId="0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0" fontId="0" fillId="0" borderId="0" xfId="0" quotePrefix="1" applyBorder="1" applyAlignment="1">
      <alignment horizontal="center"/>
    </xf>
    <xf numFmtId="16" fontId="0" fillId="0" borderId="7" xfId="0" quotePrefix="1" applyNumberFormat="1" applyBorder="1" applyAlignment="1">
      <alignment horizontal="center"/>
    </xf>
    <xf numFmtId="0" fontId="0" fillId="0" borderId="12" xfId="0" quotePrefix="1" applyBorder="1" applyAlignment="1">
      <alignment horizontal="center"/>
    </xf>
    <xf numFmtId="16" fontId="0" fillId="0" borderId="13" xfId="0" quotePrefix="1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/>
    </xf>
    <xf numFmtId="0" fontId="3" fillId="6" borderId="11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0" fillId="5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/>
    <xf numFmtId="2" fontId="3" fillId="3" borderId="1" xfId="0" applyNumberFormat="1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164" fontId="6" fillId="5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6" fontId="0" fillId="0" borderId="0" xfId="1" applyNumberFormat="1" applyFont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26" borderId="1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4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Border="1"/>
    <xf numFmtId="0" fontId="0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0" xfId="0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4" borderId="8" xfId="0" applyFont="1" applyFill="1" applyBorder="1" applyAlignment="1">
      <alignment horizontal="center" vertical="center"/>
    </xf>
    <xf numFmtId="0" fontId="0" fillId="24" borderId="10" xfId="0" applyFont="1" applyFill="1" applyBorder="1" applyAlignment="1">
      <alignment horizontal="center" vertical="center"/>
    </xf>
    <xf numFmtId="0" fontId="0" fillId="24" borderId="9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29" fillId="5" borderId="0" xfId="0" applyFont="1" applyFill="1" applyBorder="1" applyAlignment="1">
      <alignment horizontal="center"/>
    </xf>
    <xf numFmtId="0" fontId="0" fillId="24" borderId="8" xfId="0" applyFill="1" applyBorder="1" applyAlignment="1">
      <alignment horizontal="center"/>
    </xf>
    <xf numFmtId="0" fontId="0" fillId="24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16" borderId="8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11" borderId="10" xfId="0" applyFill="1" applyBorder="1" applyAlignment="1">
      <alignment horizontal="center"/>
    </xf>
    <xf numFmtId="0" fontId="0" fillId="16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26" borderId="1" xfId="0" applyFill="1" applyBorder="1" applyAlignment="1">
      <alignment horizontal="center"/>
    </xf>
    <xf numFmtId="0" fontId="0" fillId="26" borderId="8" xfId="0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0" fillId="26" borderId="9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2BE812"/>
      <color rgb="FFDB8BB3"/>
      <color rgb="FFCC00CC"/>
      <color rgb="FFFF0000"/>
      <color rgb="FF699AFD"/>
      <color rgb="FF1B9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externalLink" Target="externalLinks/externalLink40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38.xml"/><Relationship Id="rId58" Type="http://schemas.openxmlformats.org/officeDocument/2006/relationships/externalLink" Target="externalLinks/externalLink4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4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4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59" Type="http://schemas.openxmlformats.org/officeDocument/2006/relationships/externalLink" Target="externalLinks/externalLink44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externalLink" Target="externalLinks/externalLink39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42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231322</xdr:colOff>
      <xdr:row>43</xdr:row>
      <xdr:rowOff>13606</xdr:rowOff>
    </xdr:from>
    <xdr:to>
      <xdr:col>14</xdr:col>
      <xdr:colOff>27214</xdr:colOff>
      <xdr:row>61</xdr:row>
      <xdr:rowOff>149679</xdr:rowOff>
    </xdr:to>
    <xdr:pic>
      <xdr:nvPicPr>
        <xdr:cNvPr id="4" name="Immagine 3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947" t="21952" r="29399" b="29307"/>
        <a:stretch/>
      </xdr:blipFill>
      <xdr:spPr>
        <a:xfrm>
          <a:off x="13661572" y="8232320"/>
          <a:ext cx="4898571" cy="35650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523875</xdr:colOff>
      <xdr:row>3</xdr:row>
      <xdr:rowOff>95248</xdr:rowOff>
    </xdr:from>
    <xdr:to>
      <xdr:col>34</xdr:col>
      <xdr:colOff>41362</xdr:colOff>
      <xdr:row>26</xdr:row>
      <xdr:rowOff>166687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40" t="8599" r="6893" b="1913"/>
        <a:stretch/>
      </xdr:blipFill>
      <xdr:spPr>
        <a:xfrm rot="16200000">
          <a:off x="17749086" y="-270713"/>
          <a:ext cx="4452939" cy="6327861"/>
        </a:xfrm>
        <a:prstGeom prst="rect">
          <a:avLst/>
        </a:prstGeom>
      </xdr:spPr>
    </xdr:pic>
    <xdr:clientData/>
  </xdr:twoCellAnchor>
  <xdr:twoCellAnchor editAs="oneCell">
    <xdr:from>
      <xdr:col>24</xdr:col>
      <xdr:colOff>220435</xdr:colOff>
      <xdr:row>29</xdr:row>
      <xdr:rowOff>179611</xdr:rowOff>
    </xdr:from>
    <xdr:to>
      <xdr:col>34</xdr:col>
      <xdr:colOff>57151</xdr:colOff>
      <xdr:row>51</xdr:row>
      <xdr:rowOff>179492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24" t="6941" r="6447" b="6884"/>
        <a:stretch/>
      </xdr:blipFill>
      <xdr:spPr>
        <a:xfrm rot="16200000">
          <a:off x="18045852" y="4642694"/>
          <a:ext cx="4190881" cy="5932715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</xdr:colOff>
      <xdr:row>55</xdr:row>
      <xdr:rowOff>28576</xdr:rowOff>
    </xdr:from>
    <xdr:to>
      <xdr:col>15</xdr:col>
      <xdr:colOff>676275</xdr:colOff>
      <xdr:row>83</xdr:row>
      <xdr:rowOff>74843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10506076"/>
          <a:ext cx="7610475" cy="53802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54</xdr:row>
      <xdr:rowOff>28575</xdr:rowOff>
    </xdr:from>
    <xdr:to>
      <xdr:col>15</xdr:col>
      <xdr:colOff>576948</xdr:colOff>
      <xdr:row>85</xdr:row>
      <xdr:rowOff>57151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29" t="12993" r="19697" b="14140"/>
        <a:stretch/>
      </xdr:blipFill>
      <xdr:spPr>
        <a:xfrm>
          <a:off x="3295650" y="10315575"/>
          <a:ext cx="7253973" cy="59340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38099</xdr:colOff>
      <xdr:row>53</xdr:row>
      <xdr:rowOff>85725</xdr:rowOff>
    </xdr:from>
    <xdr:to>
      <xdr:col>16</xdr:col>
      <xdr:colOff>533399</xdr:colOff>
      <xdr:row>82</xdr:row>
      <xdr:rowOff>100004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603" t="18351" r="21970" b="18828"/>
        <a:stretch/>
      </xdr:blipFill>
      <xdr:spPr>
        <a:xfrm>
          <a:off x="4657724" y="10182225"/>
          <a:ext cx="7286625" cy="553877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129275</xdr:colOff>
      <xdr:row>21</xdr:row>
      <xdr:rowOff>119064</xdr:rowOff>
    </xdr:from>
    <xdr:to>
      <xdr:col>10</xdr:col>
      <xdr:colOff>773910</xdr:colOff>
      <xdr:row>51</xdr:row>
      <xdr:rowOff>90089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4198689" y="3312462"/>
          <a:ext cx="5686025" cy="79907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prova%20pilastro%20ruotato/Spettri%20MISTERBIANC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X/03_Rigidezza%2070X30%20con%202%20Travi%20Emergenti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Y/03_Rigidezza%2070X30%20con%202%20Travi%20Emergenti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X/03_Rigidezza%2070X30%20con%202%20Travi%20Emergenti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Y/03_Rigidezza%2070X30%20con%202%20Travi%20Emergenti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X/04_Rigidezza%2070X30%20con%201%20Travi%20Emergenti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Y/04_Rigidezza%2070X30%20con%201%20Travi%20Emergenti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X/04_Rigidezza%2070X30%20con%201%20Travi%20Emergenti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Y/04_Rigidezza%2070X30%20con%201%20Trave%20Emergente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Y/05_Rigidezza%2070X30%20con%201%20Trave%20a%20Spessore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Y/05_Rigidezza%2070X30%20con%201%20Trave%20a%20spessor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X/01_Rigidezza%2030X70%20con%202%20Travi%20Emergenti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3_4%20ORDINE/direzione%20X/01_Rigidezza%2030X70%20con%202%20Travi%20Emergenti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3_4%20ORDINE/direzione%20Y/01_Rigidezza%2030X70%20con%202%20Travi%20Emergenti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3_4%20ORDINE/direzione%20X/02_Rigidezza%2030X70%20con%201%20Travi%20Emergenti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3_4%20ORDINE/direzione%20Y/02_Rigidezza%2030X70%20con%201%20Travi%20Emergenti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X/01.1_Rigidezza%2030X70%20con%202%20Travi%20Emergenti_Perimetrali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1.1_Rigidezza%2030X70%20con%202%20Travi%20Emergenti_Perimetral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3_4%20ORDINE/direzione%20X/03_Rigidezza%2070X30%20con%202%20Travi%20Emergenti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3_4%20ORDINE/direzione%20Y/03_Rigidezza%2070X30%20con%202%20Travi%20Emergenti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X/01.2_Rigidezza%2030X70%20con%202%20Travi%20Emergenti_Interne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1.2_Rigidezza%2030X70%20con%202%20Travi%20Emergenti_Intern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Y/01_Rigidezza%2030X70%20con%202%20Travi%20Emergenti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3_4%20ORDINE/direzione%20X/04_Rigidezza%2070X30%20con%201%20Travi%20Emergenti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3_4%20ORDINE/direzione%20Y/04_Rigidezza%2070X30%20con%201%20Travi%20Emergenti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X/02.1_Rigidezza%2030X70%20con%201%20Travi%20Emergenti_Perimetrale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2.1_Rigidezza%2030X70%20con%201%20Trave%20Emergente_Perimetrale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X/02.2_Rigidezza%2030X70%20con%201%20Travi%20Emergenti_Interna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2.2_Rigidezza%2030X70%20con%201%20Trave%20Emergente_Interno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X/03.1_Rigidezza%2070X30%20con%202%20Travi%20Emergenti_Perimetrale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3.1_Rigidezza%2070X30%20con%202%20Travi%20Emergenti_Perimetrale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X/03.2_Rigidezza%2070X30%20con%202%20Travi%20Emergenti_Interne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3.2_Rigidezza%2070X30%20con%202%20Travi%20Emergenti_Intern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X/01_Rigidezza%2030X70%20con%202%20Travi%20Emergenti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X/04.1_Rigidezza%2070X30%20con%201%20Travi%20Emergenti_Perimetrali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4.1_Rigidezza%2070X30%20con%201%20Trave%20Emergente_Perimetrale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X/04.2_Rigidezza%2070X30%20con%201%20Travi%20Emergenti_Interne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4.2_Rigidezza%2070X30%20con%201%20Trave%20Emergente_Interno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2%20ORDINE/direzione%20Y/05_Rigidezza%2070X30%20con%201%20Trave%20a%20spessor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Y/01_Rigidezza%2030X70%20con%202%20Travi%20Emergent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X/02_Rigidezza%2030X70%20con%201%20Travi%20Emergent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Piano%20Tipo/direzione%20Y/02_Rigidezza%2030X70%20con%201%20Travi%20Emergenti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X/02_Rigidezza%2030X70%20con%201%20Travi%20Emergenti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udia/Desktop/Rigidezze/7%20ORDINE/direzione%20Y/02_Rigidezza%2030X70%20con%201%20Trave%20Emergen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/>
      <sheetData sheetId="1" refreshError="1"/>
      <sheetData sheetId="2"/>
      <sheetData sheetId="3"/>
      <sheetData sheetId="4"/>
      <sheetData sheetId="5">
        <row r="5">
          <cell r="B5">
            <v>9.1199999999999989E-2</v>
          </cell>
          <cell r="F5">
            <v>0.23999999999999996</v>
          </cell>
        </row>
        <row r="6">
          <cell r="A6">
            <v>0.12596097952444676</v>
          </cell>
          <cell r="E6">
            <v>0.16228455611726331</v>
          </cell>
        </row>
        <row r="7">
          <cell r="A7">
            <v>0.37788293857334032</v>
          </cell>
          <cell r="B7">
            <v>0.2328336</v>
          </cell>
          <cell r="C7">
            <v>0.15522239999999998</v>
          </cell>
          <cell r="E7">
            <v>0.48685366835178995</v>
          </cell>
          <cell r="F7">
            <v>0.59567999999999999</v>
          </cell>
          <cell r="G7">
            <v>0.15273846153846157</v>
          </cell>
        </row>
        <row r="54">
          <cell r="C54">
            <v>8.5255663727334965E-2</v>
          </cell>
          <cell r="G54">
            <v>0.10808325624768722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12.925906090782766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12.480783206618959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11.977099944989302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11.500374618622947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10.850323192068428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10.850323192068428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9.8091657663152887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9.8091657663152887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3.0120376949506205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4.0015653108545362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30.13319813243719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40.581805889423073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39.5672607421875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28.2623291015625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23.10496977645985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54.148475806295274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53.396336891570101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14.472150233362962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14.117159432296825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30.13319813243719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29.248899111267956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29.248899111267956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12.752205789782897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12.752205789782897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45.074109187632658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41.312931638880116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19.903419469754304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15.92755761234188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15.268299479430794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14.993361817218965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12.925906090782766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12.480783206618959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26.064228418814984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13.941983434254535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13.941983434254535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10.850323192068428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10.850323192068428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7.7174762795019829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25.279048920842385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19.903419469754304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15.92755761234188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12.58500659738788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gidezza"/>
    </sheetNames>
    <sheetDataSet>
      <sheetData sheetId="0">
        <row r="5">
          <cell r="L5">
            <v>13.675385806759618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9"/>
  <sheetViews>
    <sheetView topLeftCell="A4" zoomScale="80" zoomScaleNormal="80" workbookViewId="0">
      <selection activeCell="D10" sqref="D10"/>
    </sheetView>
  </sheetViews>
  <sheetFormatPr defaultRowHeight="15" x14ac:dyDescent="0.25"/>
  <cols>
    <col min="1" max="1" width="23.5703125" style="307" bestFit="1" customWidth="1"/>
    <col min="257" max="257" width="23.5703125" bestFit="1" customWidth="1"/>
    <col min="513" max="513" width="23.5703125" bestFit="1" customWidth="1"/>
    <col min="769" max="769" width="23.5703125" bestFit="1" customWidth="1"/>
    <col min="1025" max="1025" width="23.5703125" bestFit="1" customWidth="1"/>
    <col min="1281" max="1281" width="23.5703125" bestFit="1" customWidth="1"/>
    <col min="1537" max="1537" width="23.5703125" bestFit="1" customWidth="1"/>
    <col min="1793" max="1793" width="23.5703125" bestFit="1" customWidth="1"/>
    <col min="2049" max="2049" width="23.5703125" bestFit="1" customWidth="1"/>
    <col min="2305" max="2305" width="23.5703125" bestFit="1" customWidth="1"/>
    <col min="2561" max="2561" width="23.5703125" bestFit="1" customWidth="1"/>
    <col min="2817" max="2817" width="23.5703125" bestFit="1" customWidth="1"/>
    <col min="3073" max="3073" width="23.5703125" bestFit="1" customWidth="1"/>
    <col min="3329" max="3329" width="23.5703125" bestFit="1" customWidth="1"/>
    <col min="3585" max="3585" width="23.5703125" bestFit="1" customWidth="1"/>
    <col min="3841" max="3841" width="23.5703125" bestFit="1" customWidth="1"/>
    <col min="4097" max="4097" width="23.5703125" bestFit="1" customWidth="1"/>
    <col min="4353" max="4353" width="23.5703125" bestFit="1" customWidth="1"/>
    <col min="4609" max="4609" width="23.5703125" bestFit="1" customWidth="1"/>
    <col min="4865" max="4865" width="23.5703125" bestFit="1" customWidth="1"/>
    <col min="5121" max="5121" width="23.5703125" bestFit="1" customWidth="1"/>
    <col min="5377" max="5377" width="23.5703125" bestFit="1" customWidth="1"/>
    <col min="5633" max="5633" width="23.5703125" bestFit="1" customWidth="1"/>
    <col min="5889" max="5889" width="23.5703125" bestFit="1" customWidth="1"/>
    <col min="6145" max="6145" width="23.5703125" bestFit="1" customWidth="1"/>
    <col min="6401" max="6401" width="23.5703125" bestFit="1" customWidth="1"/>
    <col min="6657" max="6657" width="23.5703125" bestFit="1" customWidth="1"/>
    <col min="6913" max="6913" width="23.5703125" bestFit="1" customWidth="1"/>
    <col min="7169" max="7169" width="23.5703125" bestFit="1" customWidth="1"/>
    <col min="7425" max="7425" width="23.5703125" bestFit="1" customWidth="1"/>
    <col min="7681" max="7681" width="23.5703125" bestFit="1" customWidth="1"/>
    <col min="7937" max="7937" width="23.5703125" bestFit="1" customWidth="1"/>
    <col min="8193" max="8193" width="23.5703125" bestFit="1" customWidth="1"/>
    <col min="8449" max="8449" width="23.5703125" bestFit="1" customWidth="1"/>
    <col min="8705" max="8705" width="23.5703125" bestFit="1" customWidth="1"/>
    <col min="8961" max="8961" width="23.5703125" bestFit="1" customWidth="1"/>
    <col min="9217" max="9217" width="23.5703125" bestFit="1" customWidth="1"/>
    <col min="9473" max="9473" width="23.5703125" bestFit="1" customWidth="1"/>
    <col min="9729" max="9729" width="23.5703125" bestFit="1" customWidth="1"/>
    <col min="9985" max="9985" width="23.5703125" bestFit="1" customWidth="1"/>
    <col min="10241" max="10241" width="23.5703125" bestFit="1" customWidth="1"/>
    <col min="10497" max="10497" width="23.5703125" bestFit="1" customWidth="1"/>
    <col min="10753" max="10753" width="23.5703125" bestFit="1" customWidth="1"/>
    <col min="11009" max="11009" width="23.5703125" bestFit="1" customWidth="1"/>
    <col min="11265" max="11265" width="23.5703125" bestFit="1" customWidth="1"/>
    <col min="11521" max="11521" width="23.5703125" bestFit="1" customWidth="1"/>
    <col min="11777" max="11777" width="23.5703125" bestFit="1" customWidth="1"/>
    <col min="12033" max="12033" width="23.5703125" bestFit="1" customWidth="1"/>
    <col min="12289" max="12289" width="23.5703125" bestFit="1" customWidth="1"/>
    <col min="12545" max="12545" width="23.5703125" bestFit="1" customWidth="1"/>
    <col min="12801" max="12801" width="23.5703125" bestFit="1" customWidth="1"/>
    <col min="13057" max="13057" width="23.5703125" bestFit="1" customWidth="1"/>
    <col min="13313" max="13313" width="23.5703125" bestFit="1" customWidth="1"/>
    <col min="13569" max="13569" width="23.5703125" bestFit="1" customWidth="1"/>
    <col min="13825" max="13825" width="23.5703125" bestFit="1" customWidth="1"/>
    <col min="14081" max="14081" width="23.5703125" bestFit="1" customWidth="1"/>
    <col min="14337" max="14337" width="23.5703125" bestFit="1" customWidth="1"/>
    <col min="14593" max="14593" width="23.5703125" bestFit="1" customWidth="1"/>
    <col min="14849" max="14849" width="23.5703125" bestFit="1" customWidth="1"/>
    <col min="15105" max="15105" width="23.5703125" bestFit="1" customWidth="1"/>
    <col min="15361" max="15361" width="23.5703125" bestFit="1" customWidth="1"/>
    <col min="15617" max="15617" width="23.5703125" bestFit="1" customWidth="1"/>
    <col min="15873" max="15873" width="23.5703125" bestFit="1" customWidth="1"/>
    <col min="16129" max="16129" width="23.5703125" bestFit="1" customWidth="1"/>
  </cols>
  <sheetData>
    <row r="1" spans="1:5" s="363" customFormat="1" x14ac:dyDescent="0.25">
      <c r="A1" s="37" t="s">
        <v>354</v>
      </c>
      <c r="B1" s="361" t="s">
        <v>355</v>
      </c>
      <c r="C1" s="362"/>
      <c r="D1" s="362"/>
      <c r="E1" s="362"/>
    </row>
    <row r="2" spans="1:5" s="363" customFormat="1" x14ac:dyDescent="0.25">
      <c r="A2" s="37"/>
      <c r="B2" s="362"/>
      <c r="C2" s="362"/>
      <c r="D2" s="362"/>
      <c r="E2" s="362"/>
    </row>
    <row r="3" spans="1:5" s="363" customFormat="1" x14ac:dyDescent="0.25">
      <c r="A3" s="37" t="s">
        <v>356</v>
      </c>
      <c r="B3" s="37" t="s">
        <v>357</v>
      </c>
      <c r="C3" s="37" t="s">
        <v>358</v>
      </c>
      <c r="D3" s="37" t="s">
        <v>359</v>
      </c>
      <c r="E3" s="37" t="s">
        <v>360</v>
      </c>
    </row>
    <row r="4" spans="1:5" s="363" customFormat="1" ht="15.75" x14ac:dyDescent="0.25">
      <c r="A4" s="37" t="s">
        <v>361</v>
      </c>
      <c r="B4" s="364">
        <v>30</v>
      </c>
      <c r="C4" s="364">
        <v>50</v>
      </c>
      <c r="D4" s="364">
        <v>475</v>
      </c>
      <c r="E4" s="364">
        <v>975</v>
      </c>
    </row>
    <row r="5" spans="1:5" s="363" customFormat="1" ht="15.75" x14ac:dyDescent="0.25">
      <c r="A5" s="37" t="s">
        <v>362</v>
      </c>
      <c r="B5" s="365">
        <v>6.2E-2</v>
      </c>
      <c r="C5" s="365">
        <v>7.5999999999999998E-2</v>
      </c>
      <c r="D5" s="365">
        <v>0.2</v>
      </c>
      <c r="E5" s="365">
        <v>0.27600000000000002</v>
      </c>
    </row>
    <row r="6" spans="1:5" s="363" customFormat="1" ht="15.75" x14ac:dyDescent="0.25">
      <c r="A6" s="37" t="s">
        <v>363</v>
      </c>
      <c r="B6" s="365">
        <v>2.5590000000000002</v>
      </c>
      <c r="C6" s="365">
        <v>2.5529999999999999</v>
      </c>
      <c r="D6" s="365">
        <v>2.4820000000000002</v>
      </c>
      <c r="E6" s="365">
        <v>2.4350000000000001</v>
      </c>
    </row>
    <row r="7" spans="1:5" s="363" customFormat="1" ht="15.75" x14ac:dyDescent="0.25">
      <c r="A7" s="37" t="s">
        <v>364</v>
      </c>
      <c r="B7" s="365">
        <v>0.24299999999999999</v>
      </c>
      <c r="C7" s="365">
        <v>0.26300000000000001</v>
      </c>
      <c r="D7" s="365">
        <v>0.36099999999999999</v>
      </c>
      <c r="E7" s="365">
        <v>0.44400000000000001</v>
      </c>
    </row>
    <row r="8" spans="1:5" s="363" customFormat="1" x14ac:dyDescent="0.25">
      <c r="A8" s="37"/>
      <c r="B8" s="362"/>
      <c r="C8" s="362"/>
      <c r="D8" s="362"/>
      <c r="E8" s="362"/>
    </row>
    <row r="9" spans="1:5" s="363" customFormat="1" x14ac:dyDescent="0.25">
      <c r="A9" s="37" t="s">
        <v>365</v>
      </c>
      <c r="B9" s="364" t="s">
        <v>366</v>
      </c>
      <c r="C9" s="362"/>
      <c r="D9" s="362"/>
      <c r="E9" s="362"/>
    </row>
    <row r="10" spans="1:5" s="363" customFormat="1" x14ac:dyDescent="0.25">
      <c r="A10" s="159" t="s">
        <v>367</v>
      </c>
      <c r="B10" s="366">
        <v>0.05</v>
      </c>
    </row>
    <row r="11" spans="1:5" s="363" customFormat="1" x14ac:dyDescent="0.25">
      <c r="A11" s="159" t="s">
        <v>368</v>
      </c>
      <c r="B11" s="367" t="s">
        <v>369</v>
      </c>
    </row>
    <row r="12" spans="1:5" s="363" customFormat="1" x14ac:dyDescent="0.25">
      <c r="A12" s="159"/>
    </row>
    <row r="13" spans="1:5" s="363" customFormat="1" x14ac:dyDescent="0.25">
      <c r="A13" s="159"/>
      <c r="C13" s="37" t="s">
        <v>358</v>
      </c>
      <c r="D13" s="37" t="s">
        <v>359</v>
      </c>
    </row>
    <row r="14" spans="1:5" s="363" customFormat="1" x14ac:dyDescent="0.25">
      <c r="A14" s="92" t="s">
        <v>370</v>
      </c>
      <c r="C14" s="159">
        <v>1.5</v>
      </c>
      <c r="D14" s="367">
        <v>3.9</v>
      </c>
    </row>
    <row r="15" spans="1:5" s="363" customFormat="1" x14ac:dyDescent="0.25">
      <c r="A15" s="159"/>
    </row>
    <row r="16" spans="1:5" s="363" customFormat="1" x14ac:dyDescent="0.25">
      <c r="A16" s="159"/>
      <c r="B16" s="368" t="s">
        <v>371</v>
      </c>
    </row>
    <row r="17" spans="1:4" s="363" customFormat="1" x14ac:dyDescent="0.25">
      <c r="A17" s="159"/>
    </row>
    <row r="18" spans="1:4" s="363" customFormat="1" x14ac:dyDescent="0.25">
      <c r="A18" s="159"/>
    </row>
    <row r="19" spans="1:4" s="363" customFormat="1" x14ac:dyDescent="0.25">
      <c r="A19" s="159" t="s">
        <v>372</v>
      </c>
      <c r="C19" s="37" t="s">
        <v>358</v>
      </c>
      <c r="D19" s="37" t="s">
        <v>359</v>
      </c>
    </row>
    <row r="20" spans="1:4" s="363" customFormat="1" ht="15.75" x14ac:dyDescent="0.25">
      <c r="A20" s="159" t="s">
        <v>373</v>
      </c>
      <c r="C20" s="369">
        <f>'[1]val x spettri'!B5</f>
        <v>9.1199999999999989E-2</v>
      </c>
      <c r="D20" s="370">
        <f>'[1]val x spettri'!F5</f>
        <v>0.23999999999999996</v>
      </c>
    </row>
    <row r="21" spans="1:4" s="363" customFormat="1" ht="15.75" x14ac:dyDescent="0.25">
      <c r="A21" s="159" t="s">
        <v>374</v>
      </c>
      <c r="C21" s="370">
        <f>'[1]val x spettri'!A6</f>
        <v>0.12596097952444676</v>
      </c>
      <c r="D21" s="370">
        <f>'[1]val x spettri'!E6</f>
        <v>0.16228455611726331</v>
      </c>
    </row>
    <row r="22" spans="1:4" s="363" customFormat="1" ht="15.75" x14ac:dyDescent="0.25">
      <c r="A22" s="159" t="s">
        <v>375</v>
      </c>
      <c r="C22" s="370">
        <f>'[1]val x spettri'!A7</f>
        <v>0.37788293857334032</v>
      </c>
      <c r="D22" s="370">
        <f>'[1]val x spettri'!E7</f>
        <v>0.48685366835178995</v>
      </c>
    </row>
    <row r="23" spans="1:4" s="363" customFormat="1" ht="15.75" x14ac:dyDescent="0.25">
      <c r="A23" s="159" t="s">
        <v>376</v>
      </c>
      <c r="C23" s="370">
        <f>'[1]val x spettri'!B7</f>
        <v>0.2328336</v>
      </c>
      <c r="D23" s="370">
        <f>'[1]val x spettri'!F7</f>
        <v>0.59567999999999999</v>
      </c>
    </row>
    <row r="24" spans="1:4" s="363" customFormat="1" ht="15.75" x14ac:dyDescent="0.25">
      <c r="A24" s="159" t="s">
        <v>377</v>
      </c>
      <c r="C24" s="370">
        <f>'[1]val x spettri'!C7</f>
        <v>0.15522239999999998</v>
      </c>
      <c r="D24" s="370">
        <f>'[1]val x spettri'!G7</f>
        <v>0.15273846153846157</v>
      </c>
    </row>
    <row r="25" spans="1:4" s="363" customFormat="1" x14ac:dyDescent="0.25">
      <c r="A25" s="159"/>
    </row>
    <row r="26" spans="1:4" s="363" customFormat="1" x14ac:dyDescent="0.25">
      <c r="A26" s="371" t="s">
        <v>378</v>
      </c>
    </row>
    <row r="27" spans="1:4" s="363" customFormat="1" x14ac:dyDescent="0.25">
      <c r="A27" s="159"/>
      <c r="B27" s="159" t="s">
        <v>379</v>
      </c>
      <c r="C27" s="159" t="s">
        <v>380</v>
      </c>
      <c r="D27" s="159" t="s">
        <v>381</v>
      </c>
    </row>
    <row r="28" spans="1:4" s="363" customFormat="1" x14ac:dyDescent="0.25">
      <c r="A28" s="159"/>
      <c r="B28" s="372">
        <v>0.68799999999999994</v>
      </c>
      <c r="C28" s="370">
        <f>'[1]val x spettri'!C54</f>
        <v>8.5255663727334965E-2</v>
      </c>
      <c r="D28" s="370">
        <f>'[1]val x spettri'!G54</f>
        <v>0.10808325624768722</v>
      </c>
    </row>
    <row r="29" spans="1:4" s="363" customFormat="1" x14ac:dyDescent="0.25">
      <c r="A29" s="159"/>
    </row>
  </sheetData>
  <protectedRanges>
    <protectedRange sqref="B9:B10" name="Intervallo5_1"/>
    <protectedRange sqref="B1" name="Intervallo5_2"/>
    <protectedRange sqref="B5:B7" name="Intervallo1_1"/>
    <protectedRange sqref="C5:C7" name="Intervallo2_1"/>
    <protectedRange sqref="D5:D7" name="Intervallo3_1"/>
    <protectedRange sqref="E5:E7" name="Intervallo4_1"/>
  </protectedRange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53"/>
  <sheetViews>
    <sheetView topLeftCell="M28" zoomScale="80" zoomScaleNormal="80" workbookViewId="0">
      <selection activeCell="W50" sqref="W50"/>
    </sheetView>
  </sheetViews>
  <sheetFormatPr defaultRowHeight="15" x14ac:dyDescent="0.25"/>
  <cols>
    <col min="2" max="2" width="21" customWidth="1"/>
    <col min="3" max="3" width="20.85546875" customWidth="1"/>
    <col min="8" max="8" width="10.42578125" customWidth="1"/>
    <col min="20" max="20" width="15" customWidth="1"/>
    <col min="23" max="23" width="12.28515625" customWidth="1"/>
  </cols>
  <sheetData>
    <row r="2" spans="2:21" x14ac:dyDescent="0.25">
      <c r="C2" s="102" t="s">
        <v>184</v>
      </c>
    </row>
    <row r="4" spans="2:21" x14ac:dyDescent="0.25">
      <c r="C4" s="184"/>
      <c r="D4" s="39"/>
    </row>
    <row r="5" spans="2:21" x14ac:dyDescent="0.25">
      <c r="C5" s="174" t="s">
        <v>242</v>
      </c>
      <c r="E5" s="188" t="s">
        <v>207</v>
      </c>
      <c r="F5" s="176">
        <v>0.15</v>
      </c>
      <c r="G5" s="176"/>
      <c r="H5" s="176">
        <v>4.05</v>
      </c>
      <c r="I5" s="176"/>
      <c r="J5" s="176">
        <v>8.65</v>
      </c>
      <c r="K5" s="176"/>
      <c r="L5" s="176"/>
      <c r="M5" s="176">
        <v>13.65</v>
      </c>
      <c r="N5" s="176"/>
      <c r="O5" s="176">
        <v>18.850000000000001</v>
      </c>
      <c r="P5" s="176"/>
      <c r="Q5" s="176">
        <v>22.75</v>
      </c>
      <c r="R5" s="188"/>
      <c r="U5" s="188"/>
    </row>
    <row r="6" spans="2:21" x14ac:dyDescent="0.25">
      <c r="E6" s="188"/>
      <c r="F6" s="176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</row>
    <row r="7" spans="2:21" x14ac:dyDescent="0.25">
      <c r="D7" s="188" t="s">
        <v>206</v>
      </c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74" t="s">
        <v>175</v>
      </c>
      <c r="T7" s="174" t="s">
        <v>209</v>
      </c>
      <c r="U7" s="174" t="s">
        <v>210</v>
      </c>
    </row>
    <row r="8" spans="2:21" x14ac:dyDescent="0.25">
      <c r="B8" s="276" t="s">
        <v>244</v>
      </c>
      <c r="C8" s="240" t="s">
        <v>252</v>
      </c>
      <c r="D8" s="176">
        <v>15.55</v>
      </c>
      <c r="E8" s="188"/>
      <c r="F8" s="259">
        <f>Rigidezze!S43</f>
        <v>45.074109187632658</v>
      </c>
      <c r="G8" s="186"/>
      <c r="H8" s="278">
        <f>Rigidezze!S45</f>
        <v>15.268299479430794</v>
      </c>
      <c r="I8" s="186"/>
      <c r="J8" s="260">
        <f>Rigidezze!S43</f>
        <v>45.074109187632658</v>
      </c>
      <c r="K8" s="188"/>
      <c r="L8" s="188"/>
      <c r="M8" s="259">
        <f>Rigidezze!S43</f>
        <v>45.074109187632658</v>
      </c>
      <c r="N8" s="186"/>
      <c r="O8" s="278">
        <f>Rigidezze!S45</f>
        <v>15.268299479430794</v>
      </c>
      <c r="P8" s="186"/>
      <c r="Q8" s="264">
        <f>Rigidezze!S47</f>
        <v>13.941983434254535</v>
      </c>
      <c r="R8" s="188"/>
      <c r="S8" s="29">
        <f>F8+H8+J8+M8+O8+Q8</f>
        <v>179.70090995601407</v>
      </c>
      <c r="T8" s="29">
        <f>S8*D8</f>
        <v>2794.3491498160188</v>
      </c>
      <c r="U8" s="29">
        <f>S8*(D8^2)</f>
        <v>43452.129279639092</v>
      </c>
    </row>
    <row r="9" spans="2:21" x14ac:dyDescent="0.25">
      <c r="B9" s="276" t="s">
        <v>251</v>
      </c>
      <c r="C9" s="240" t="s">
        <v>253</v>
      </c>
      <c r="D9" s="176">
        <v>15.35</v>
      </c>
      <c r="E9" s="188"/>
      <c r="F9" s="187"/>
      <c r="G9" s="188"/>
      <c r="H9" s="188"/>
      <c r="I9" s="188"/>
      <c r="J9" s="111"/>
      <c r="K9" s="188"/>
      <c r="L9" s="188"/>
      <c r="M9" s="187"/>
      <c r="N9" s="188"/>
      <c r="O9" s="188"/>
      <c r="P9" s="188"/>
      <c r="Q9" s="111"/>
      <c r="R9" s="188"/>
      <c r="S9" s="29"/>
      <c r="T9" s="29"/>
      <c r="U9" s="29"/>
    </row>
    <row r="10" spans="2:21" x14ac:dyDescent="0.25">
      <c r="B10" s="276" t="s">
        <v>245</v>
      </c>
      <c r="C10" s="240" t="s">
        <v>245</v>
      </c>
      <c r="D10" s="176"/>
      <c r="E10" s="188"/>
      <c r="F10" s="187"/>
      <c r="G10" s="188"/>
      <c r="H10" s="188"/>
      <c r="I10" s="188"/>
      <c r="J10" s="111"/>
      <c r="K10" s="188"/>
      <c r="L10" s="188"/>
      <c r="M10" s="187"/>
      <c r="N10" s="188"/>
      <c r="O10" s="188"/>
      <c r="P10" s="188"/>
      <c r="Q10" s="111"/>
      <c r="R10" s="188"/>
      <c r="S10" s="29"/>
      <c r="T10" s="29"/>
      <c r="U10" s="29"/>
    </row>
    <row r="11" spans="2:21" x14ac:dyDescent="0.25">
      <c r="D11" s="176"/>
      <c r="E11" s="188"/>
      <c r="F11" s="187"/>
      <c r="G11" s="188"/>
      <c r="H11" s="188"/>
      <c r="I11" s="188"/>
      <c r="J11" s="111"/>
      <c r="K11" s="188"/>
      <c r="L11" s="188"/>
      <c r="M11" s="187"/>
      <c r="N11" s="188"/>
      <c r="O11" s="188"/>
      <c r="P11" s="188"/>
      <c r="Q11" s="111"/>
      <c r="R11" s="188"/>
      <c r="S11" s="29"/>
      <c r="T11" s="29"/>
      <c r="U11" s="29"/>
    </row>
    <row r="12" spans="2:21" x14ac:dyDescent="0.25">
      <c r="B12" s="275" t="s">
        <v>244</v>
      </c>
      <c r="C12" s="242" t="s">
        <v>244</v>
      </c>
      <c r="D12" s="176"/>
      <c r="E12" s="188"/>
      <c r="F12" s="187"/>
      <c r="G12" s="188"/>
      <c r="H12" s="188"/>
      <c r="I12" s="188"/>
      <c r="J12" s="111"/>
      <c r="K12" s="188"/>
      <c r="L12" s="188"/>
      <c r="M12" s="187"/>
      <c r="N12" s="188"/>
      <c r="O12" s="188"/>
      <c r="P12" s="188"/>
      <c r="Q12" s="111"/>
      <c r="R12" s="188"/>
      <c r="S12" s="29">
        <f>F13+H13+O13+Q13</f>
        <v>129.95505731477391</v>
      </c>
      <c r="T12" s="29">
        <f>S12*D13</f>
        <v>1371.0258546708649</v>
      </c>
      <c r="U12" s="29">
        <f>S12*(D13^2)</f>
        <v>14464.322766777625</v>
      </c>
    </row>
    <row r="13" spans="2:21" x14ac:dyDescent="0.25">
      <c r="B13" s="275" t="s">
        <v>254</v>
      </c>
      <c r="C13" s="242" t="s">
        <v>253</v>
      </c>
      <c r="D13" s="176">
        <v>10.55</v>
      </c>
      <c r="E13" s="188"/>
      <c r="F13" s="261">
        <f>Rigidezze!S43</f>
        <v>45.074109187632658</v>
      </c>
      <c r="G13" s="188"/>
      <c r="H13" s="175">
        <f>Rigidezze!S44</f>
        <v>19.903419469754304</v>
      </c>
      <c r="I13" s="188"/>
      <c r="J13" s="266">
        <f>Rigidezze!S47</f>
        <v>13.941983434254535</v>
      </c>
      <c r="K13" s="186"/>
      <c r="L13" s="201"/>
      <c r="M13" s="266">
        <f>Rigidezze!S47</f>
        <v>13.941983434254535</v>
      </c>
      <c r="N13" s="188"/>
      <c r="O13" s="175">
        <f>Rigidezze!S44</f>
        <v>19.903419469754304</v>
      </c>
      <c r="P13" s="188"/>
      <c r="Q13" s="280">
        <f>Rigidezze!S43</f>
        <v>45.074109187632658</v>
      </c>
      <c r="R13" s="188"/>
      <c r="S13" s="29">
        <f>J13+M13</f>
        <v>27.88396686850907</v>
      </c>
      <c r="T13" s="29">
        <f>S13*D14</f>
        <v>288.59905708906888</v>
      </c>
      <c r="U13" s="29">
        <f>S13*(D14^2)</f>
        <v>2987.0002408718624</v>
      </c>
    </row>
    <row r="14" spans="2:21" x14ac:dyDescent="0.25">
      <c r="B14" s="275" t="s">
        <v>246</v>
      </c>
      <c r="C14" s="242" t="s">
        <v>246</v>
      </c>
      <c r="D14" s="176">
        <v>10.35</v>
      </c>
      <c r="E14" s="188"/>
      <c r="F14" s="187"/>
      <c r="G14" s="188"/>
      <c r="H14" s="188"/>
      <c r="I14" s="188"/>
      <c r="J14" s="188"/>
      <c r="K14" s="122"/>
      <c r="L14" s="122"/>
      <c r="M14" s="188"/>
      <c r="N14" s="188"/>
      <c r="O14" s="188"/>
      <c r="P14" s="188"/>
      <c r="Q14" s="111"/>
      <c r="R14" s="188"/>
    </row>
    <row r="15" spans="2:21" x14ac:dyDescent="0.25">
      <c r="D15" s="176"/>
      <c r="E15" s="188"/>
      <c r="F15" s="187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11"/>
      <c r="R15" s="188"/>
      <c r="S15" s="29"/>
      <c r="T15" s="29"/>
      <c r="U15" s="29"/>
    </row>
    <row r="16" spans="2:21" x14ac:dyDescent="0.25">
      <c r="B16" s="117" t="s">
        <v>247</v>
      </c>
      <c r="C16" s="274" t="s">
        <v>247</v>
      </c>
      <c r="D16" s="176"/>
      <c r="E16" s="188"/>
      <c r="F16" s="187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11"/>
      <c r="R16" s="188"/>
      <c r="S16" s="29"/>
      <c r="T16" s="29"/>
      <c r="U16" s="29"/>
    </row>
    <row r="17" spans="1:24" x14ac:dyDescent="0.25">
      <c r="B17" s="117" t="s">
        <v>254</v>
      </c>
      <c r="C17" s="274" t="s">
        <v>253</v>
      </c>
      <c r="D17" s="176">
        <v>6.05</v>
      </c>
      <c r="E17" s="188"/>
      <c r="F17" s="187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11"/>
      <c r="R17" s="188"/>
      <c r="S17" s="29">
        <f>F18+H18</f>
        <v>24.792306626322961</v>
      </c>
      <c r="T17" s="29">
        <f>S17*D17</f>
        <v>149.9934550892539</v>
      </c>
      <c r="U17" s="29">
        <f>S17*(D17^2)</f>
        <v>907.46040328998617</v>
      </c>
    </row>
    <row r="18" spans="1:24" x14ac:dyDescent="0.25">
      <c r="B18" s="117" t="s">
        <v>245</v>
      </c>
      <c r="C18" s="274" t="s">
        <v>245</v>
      </c>
      <c r="D18" s="176">
        <v>5.85</v>
      </c>
      <c r="E18" s="188"/>
      <c r="F18" s="265">
        <f>Rigidezze!S47</f>
        <v>13.941983434254535</v>
      </c>
      <c r="G18" s="188"/>
      <c r="H18" s="236">
        <f>Rigidezze!S48</f>
        <v>10.850323192068428</v>
      </c>
      <c r="I18" s="188"/>
      <c r="J18" s="175">
        <f>Rigidezze!S44</f>
        <v>19.903419469754304</v>
      </c>
      <c r="K18" s="188"/>
      <c r="L18" s="188"/>
      <c r="M18" s="252">
        <f>Rigidezze!S42</f>
        <v>30.13319813243719</v>
      </c>
      <c r="N18" s="188"/>
      <c r="O18" s="245">
        <f>Rigidezze!S46</f>
        <v>12.925906090782766</v>
      </c>
      <c r="P18" s="188"/>
      <c r="Q18" s="280">
        <f>Rigidezze!S43</f>
        <v>45.074109187632658</v>
      </c>
      <c r="R18" s="188"/>
      <c r="S18" s="29">
        <f>J18+M18+Q18</f>
        <v>95.110726789824156</v>
      </c>
      <c r="T18" s="29">
        <f>S18*D18</f>
        <v>556.39775172047132</v>
      </c>
      <c r="U18" s="29">
        <f>S18*(D18^2)</f>
        <v>3254.9268475647568</v>
      </c>
      <c r="W18" s="118" t="s">
        <v>257</v>
      </c>
      <c r="X18" s="291">
        <f>SQRT(T35/S26)</f>
        <v>9.8593287312248066</v>
      </c>
    </row>
    <row r="19" spans="1:24" x14ac:dyDescent="0.25">
      <c r="D19" s="176">
        <v>5.55</v>
      </c>
      <c r="E19" s="188"/>
      <c r="F19" s="187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11" t="s">
        <v>205</v>
      </c>
      <c r="R19" s="188"/>
      <c r="S19" s="29">
        <f>O18</f>
        <v>12.925906090782766</v>
      </c>
      <c r="T19" s="29">
        <f>S19*D19</f>
        <v>71.73877880384434</v>
      </c>
      <c r="U19" s="29">
        <f>S19*(D19^2)</f>
        <v>398.15022236133609</v>
      </c>
    </row>
    <row r="20" spans="1:24" x14ac:dyDescent="0.25">
      <c r="B20" s="277" t="s">
        <v>247</v>
      </c>
      <c r="C20" s="243" t="s">
        <v>247</v>
      </c>
      <c r="D20" s="176"/>
      <c r="E20" s="188"/>
      <c r="F20" s="187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11"/>
      <c r="R20" s="188"/>
      <c r="S20" s="29"/>
      <c r="T20" s="29"/>
      <c r="U20" s="29"/>
      <c r="W20" s="178" t="s">
        <v>208</v>
      </c>
      <c r="X20" s="179">
        <v>8.48</v>
      </c>
    </row>
    <row r="21" spans="1:24" x14ac:dyDescent="0.25">
      <c r="B21" s="277" t="s">
        <v>254</v>
      </c>
      <c r="C21" s="243" t="s">
        <v>253</v>
      </c>
      <c r="D21" s="176"/>
      <c r="E21" s="188"/>
      <c r="F21" s="187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11"/>
      <c r="R21" s="188"/>
      <c r="S21" s="29"/>
      <c r="T21" s="29"/>
      <c r="U21" s="29"/>
      <c r="W21" s="180" t="s">
        <v>206</v>
      </c>
      <c r="X21" s="181">
        <f>T26/S26</f>
        <v>8.1025314689835941</v>
      </c>
    </row>
    <row r="22" spans="1:24" x14ac:dyDescent="0.25">
      <c r="B22" s="277" t="s">
        <v>246</v>
      </c>
      <c r="C22" s="243" t="s">
        <v>246</v>
      </c>
      <c r="D22" s="176">
        <v>0.7</v>
      </c>
      <c r="E22" s="188"/>
      <c r="F22" s="187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11"/>
      <c r="R22" s="188"/>
      <c r="S22" s="29">
        <f>F23</f>
        <v>13.941983434254535</v>
      </c>
      <c r="T22" s="29">
        <f>S22*D22</f>
        <v>9.7593884039781731</v>
      </c>
      <c r="U22" s="29">
        <f>S22*(D22^2)</f>
        <v>6.8315718827847212</v>
      </c>
      <c r="W22" s="208"/>
      <c r="X22" s="208"/>
    </row>
    <row r="23" spans="1:24" x14ac:dyDescent="0.25">
      <c r="D23" s="176">
        <v>0.55000000000000004</v>
      </c>
      <c r="E23" s="188"/>
      <c r="F23" s="267">
        <f>Rigidezze!S47</f>
        <v>13.941983434254535</v>
      </c>
      <c r="G23" s="189"/>
      <c r="H23" s="281">
        <f>Rigidezze!S41</f>
        <v>54.148475806295274</v>
      </c>
      <c r="I23" s="189"/>
      <c r="J23" s="283">
        <f>Rigidezze!S43</f>
        <v>45.074109187632658</v>
      </c>
      <c r="K23" s="189"/>
      <c r="L23" s="189"/>
      <c r="M23" s="283">
        <f>Rigidezze!S43</f>
        <v>45.074109187632658</v>
      </c>
      <c r="N23" s="189"/>
      <c r="O23" s="279">
        <f>Rigidezze!S45</f>
        <v>15.268299479430794</v>
      </c>
      <c r="P23" s="189"/>
      <c r="Q23" s="268">
        <f>Rigidezze!S47</f>
        <v>13.941983434254535</v>
      </c>
      <c r="R23" s="188"/>
      <c r="S23" s="29">
        <f>H23+J23+M23</f>
        <v>144.29669418156061</v>
      </c>
      <c r="T23" s="29">
        <f>S23*D23</f>
        <v>79.363181799858339</v>
      </c>
      <c r="U23" s="29">
        <f>S23*(D23^2)</f>
        <v>43.649749989922093</v>
      </c>
      <c r="W23" s="271" t="s">
        <v>250</v>
      </c>
      <c r="X23" s="272">
        <f>X20-X21</f>
        <v>0.37746853101640632</v>
      </c>
    </row>
    <row r="24" spans="1:24" x14ac:dyDescent="0.25">
      <c r="D24" s="176">
        <v>0.3</v>
      </c>
      <c r="S24" s="29">
        <f>O23+Q23</f>
        <v>29.210282913685329</v>
      </c>
      <c r="T24" s="29">
        <f>S24*D24</f>
        <v>8.7630848741055978</v>
      </c>
      <c r="U24" s="29">
        <f>S24*(D24^2)</f>
        <v>2.6289254622316798</v>
      </c>
      <c r="W24" s="269">
        <v>0.05</v>
      </c>
      <c r="X24" s="270">
        <f>(D8/100)*5</f>
        <v>0.77749999999999997</v>
      </c>
    </row>
    <row r="25" spans="1:24" x14ac:dyDescent="0.25">
      <c r="E25" s="188"/>
      <c r="F25" s="185"/>
      <c r="G25" s="184"/>
      <c r="H25" s="185"/>
      <c r="I25" s="184"/>
      <c r="J25" s="185"/>
      <c r="K25" s="184"/>
      <c r="L25" s="184"/>
      <c r="M25" s="185"/>
      <c r="N25" s="184"/>
      <c r="O25" s="185"/>
      <c r="P25" s="184"/>
      <c r="Q25" s="185"/>
      <c r="R25" s="188"/>
    </row>
    <row r="26" spans="1:24" x14ac:dyDescent="0.25"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77">
        <f>S8+S12+S17+S22+S23+S24+S13+S18+S19</f>
        <v>657.81783417572751</v>
      </c>
      <c r="T26" s="177">
        <f>T8+T12+T17+T22+T23+T24+T13+T18+T19</f>
        <v>5329.9897022674641</v>
      </c>
      <c r="U26" s="177">
        <f>U8+U12+U17+U22+U13+U18+U19+U23+U24</f>
        <v>65517.100007839595</v>
      </c>
    </row>
    <row r="27" spans="1:24" x14ac:dyDescent="0.25"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</row>
    <row r="28" spans="1:24" x14ac:dyDescent="0.25">
      <c r="A28" s="221"/>
      <c r="B28" s="221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</row>
    <row r="29" spans="1:24" x14ac:dyDescent="0.25"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</row>
    <row r="30" spans="1:24" x14ac:dyDescent="0.25">
      <c r="C30" s="174" t="s">
        <v>243</v>
      </c>
      <c r="E30" s="188" t="s">
        <v>207</v>
      </c>
      <c r="F30" s="176">
        <v>0.15</v>
      </c>
      <c r="G30" s="176"/>
      <c r="H30" s="176">
        <v>4.05</v>
      </c>
      <c r="I30" s="176"/>
      <c r="J30" s="176">
        <v>8.85</v>
      </c>
      <c r="K30" s="176"/>
      <c r="L30" s="176"/>
      <c r="M30" s="176">
        <v>13.65</v>
      </c>
      <c r="N30" s="176"/>
      <c r="O30" s="176">
        <v>18.850000000000001</v>
      </c>
      <c r="P30" s="176"/>
      <c r="Q30" s="176">
        <v>22.75</v>
      </c>
      <c r="R30" s="188"/>
    </row>
    <row r="31" spans="1:24" x14ac:dyDescent="0.25">
      <c r="E31" s="188"/>
      <c r="F31" s="176">
        <v>0.55000000000000004</v>
      </c>
      <c r="G31" s="188"/>
      <c r="H31" s="176">
        <v>3.85</v>
      </c>
      <c r="I31" s="188"/>
      <c r="J31" s="176">
        <v>9.0500000000000007</v>
      </c>
      <c r="K31" s="188"/>
      <c r="L31" s="188"/>
      <c r="M31" s="176">
        <v>13.85</v>
      </c>
      <c r="N31" s="188"/>
      <c r="O31" s="176">
        <v>19.05</v>
      </c>
      <c r="P31" s="188"/>
      <c r="Q31" s="176">
        <v>22.55</v>
      </c>
      <c r="R31" s="188"/>
      <c r="S31" s="188"/>
      <c r="T31" s="188"/>
      <c r="U31" s="188"/>
    </row>
    <row r="32" spans="1:24" x14ac:dyDescent="0.25">
      <c r="D32" s="188" t="s">
        <v>206</v>
      </c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88"/>
      <c r="T32" s="88"/>
      <c r="U32" s="88"/>
      <c r="V32" s="62"/>
      <c r="W32" s="62"/>
      <c r="X32" s="62"/>
    </row>
    <row r="33" spans="2:24" x14ac:dyDescent="0.25">
      <c r="B33" s="276" t="s">
        <v>244</v>
      </c>
      <c r="C33" s="240" t="s">
        <v>252</v>
      </c>
      <c r="D33" s="176">
        <v>15.35</v>
      </c>
      <c r="E33" s="188"/>
      <c r="F33" s="263">
        <f>Rigidezze!Y47</f>
        <v>13.941983434254535</v>
      </c>
      <c r="G33" s="186"/>
      <c r="H33" s="282">
        <f>Rigidezze!Y43</f>
        <v>41.312931638880116</v>
      </c>
      <c r="I33" s="186"/>
      <c r="J33" s="264">
        <f>Rigidezze!Y47</f>
        <v>13.941983434254535</v>
      </c>
      <c r="K33" s="188"/>
      <c r="L33" s="188"/>
      <c r="M33" s="263">
        <f>Rigidezze!Y47</f>
        <v>13.941983434254535</v>
      </c>
      <c r="N33" s="186"/>
      <c r="O33" s="282">
        <f>Rigidezze!Y43</f>
        <v>41.312931638880116</v>
      </c>
      <c r="P33" s="186"/>
      <c r="Q33" s="260">
        <f>Rigidezze!Y43</f>
        <v>41.312931638880116</v>
      </c>
      <c r="R33" s="188"/>
      <c r="S33" s="206"/>
      <c r="T33" s="206"/>
      <c r="U33" s="206"/>
      <c r="V33" s="62"/>
      <c r="W33" s="62"/>
      <c r="X33" s="62"/>
    </row>
    <row r="34" spans="2:24" x14ac:dyDescent="0.25">
      <c r="B34" s="276" t="s">
        <v>254</v>
      </c>
      <c r="C34" s="240" t="s">
        <v>253</v>
      </c>
      <c r="D34" s="176"/>
      <c r="E34" s="188"/>
      <c r="F34" s="187"/>
      <c r="G34" s="188"/>
      <c r="H34" s="188"/>
      <c r="I34" s="188"/>
      <c r="J34" s="111"/>
      <c r="K34" s="188"/>
      <c r="L34" s="188"/>
      <c r="M34" s="187"/>
      <c r="N34" s="122"/>
      <c r="O34" s="122"/>
      <c r="P34" s="122"/>
      <c r="Q34" s="111"/>
      <c r="R34" s="188"/>
      <c r="S34" s="206"/>
      <c r="T34" s="206"/>
      <c r="U34" s="206"/>
      <c r="V34" s="62"/>
      <c r="W34" s="62"/>
      <c r="X34" s="62"/>
    </row>
    <row r="35" spans="2:24" x14ac:dyDescent="0.25">
      <c r="B35" s="276" t="s">
        <v>245</v>
      </c>
      <c r="C35" s="240" t="s">
        <v>245</v>
      </c>
      <c r="D35" s="176"/>
      <c r="E35" s="188"/>
      <c r="F35" s="187"/>
      <c r="G35" s="188"/>
      <c r="H35" s="188"/>
      <c r="I35" s="188"/>
      <c r="J35" s="111"/>
      <c r="K35" s="188"/>
      <c r="L35" s="188"/>
      <c r="M35" s="187"/>
      <c r="N35" s="188"/>
      <c r="O35" s="188"/>
      <c r="P35" s="188"/>
      <c r="Q35" s="111"/>
      <c r="S35" s="290" t="s">
        <v>256</v>
      </c>
      <c r="T35" s="290">
        <f>U26+T53-S26*X21^2-T51*W50^2</f>
        <v>63944.079196727602</v>
      </c>
      <c r="U35" s="206"/>
      <c r="V35" s="62"/>
      <c r="W35" s="62"/>
      <c r="X35" s="62"/>
    </row>
    <row r="36" spans="2:24" x14ac:dyDescent="0.25">
      <c r="D36" s="176"/>
      <c r="E36" s="188"/>
      <c r="F36" s="187"/>
      <c r="G36" s="188"/>
      <c r="H36" s="188"/>
      <c r="I36" s="188"/>
      <c r="J36" s="111"/>
      <c r="K36" s="188"/>
      <c r="L36" s="188"/>
      <c r="M36" s="187"/>
      <c r="N36" s="188"/>
      <c r="O36" s="188"/>
      <c r="P36" s="188"/>
      <c r="Q36" s="111"/>
      <c r="R36" s="188"/>
      <c r="S36" s="206"/>
      <c r="T36" s="206"/>
      <c r="U36" s="206"/>
      <c r="V36" s="62"/>
      <c r="W36" s="62"/>
      <c r="X36" s="62"/>
    </row>
    <row r="37" spans="2:24" x14ac:dyDescent="0.25">
      <c r="B37" s="275" t="s">
        <v>244</v>
      </c>
      <c r="C37" s="242" t="s">
        <v>244</v>
      </c>
      <c r="D37" s="176"/>
      <c r="E37" s="188"/>
      <c r="F37" s="187"/>
      <c r="G37" s="188"/>
      <c r="H37" s="188"/>
      <c r="I37" s="188"/>
      <c r="J37" s="111"/>
      <c r="K37" s="188"/>
      <c r="L37" s="188"/>
      <c r="M37" s="187"/>
      <c r="N37" s="188"/>
      <c r="O37" s="188"/>
      <c r="P37" s="188"/>
      <c r="Q37" s="111"/>
      <c r="R37" s="188"/>
      <c r="S37" s="206"/>
      <c r="T37" s="206"/>
      <c r="U37" s="206"/>
      <c r="V37" s="62"/>
      <c r="W37" s="62"/>
      <c r="X37" s="62"/>
    </row>
    <row r="38" spans="2:24" x14ac:dyDescent="0.25">
      <c r="B38" s="275" t="s">
        <v>254</v>
      </c>
      <c r="C38" s="242" t="s">
        <v>253</v>
      </c>
      <c r="D38" s="176">
        <v>10.15</v>
      </c>
      <c r="E38" s="188"/>
      <c r="F38" s="284">
        <f>Rigidezze!Y45</f>
        <v>14.993361817218965</v>
      </c>
      <c r="G38" s="188"/>
      <c r="H38" s="245">
        <f>Rigidezze!Y46</f>
        <v>12.480783206618959</v>
      </c>
      <c r="I38" s="188"/>
      <c r="J38" s="287">
        <f>Rigidezze!Y41</f>
        <v>53.396336891570101</v>
      </c>
      <c r="K38" s="186"/>
      <c r="L38" s="201"/>
      <c r="M38" s="287">
        <f>Rigidezze!Y41</f>
        <v>53.396336891570101</v>
      </c>
      <c r="N38" s="188"/>
      <c r="O38" s="236">
        <f>Rigidezze!Y48</f>
        <v>10.850323192068428</v>
      </c>
      <c r="P38" s="188"/>
      <c r="Q38" s="288">
        <f>Rigidezze!Y45</f>
        <v>14.993361817218965</v>
      </c>
      <c r="R38" s="188"/>
      <c r="S38" s="206"/>
      <c r="T38" s="206"/>
      <c r="U38" s="206"/>
      <c r="V38" s="62"/>
      <c r="W38" s="62"/>
      <c r="X38" s="62"/>
    </row>
    <row r="39" spans="2:24" x14ac:dyDescent="0.25">
      <c r="B39" s="275" t="s">
        <v>246</v>
      </c>
      <c r="C39" s="242" t="s">
        <v>246</v>
      </c>
      <c r="D39" s="176"/>
      <c r="E39" s="188"/>
      <c r="F39" s="187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11"/>
      <c r="R39" s="188"/>
      <c r="S39" s="206"/>
      <c r="T39" s="206"/>
      <c r="U39" s="206"/>
      <c r="V39" s="62"/>
      <c r="W39" s="62"/>
      <c r="X39" s="62"/>
    </row>
    <row r="40" spans="2:24" x14ac:dyDescent="0.25">
      <c r="D40" s="176"/>
      <c r="E40" s="188"/>
      <c r="F40" s="187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11"/>
      <c r="R40" s="188"/>
      <c r="S40" s="206"/>
      <c r="T40" s="206"/>
      <c r="U40" s="206"/>
      <c r="V40" s="62"/>
      <c r="W40" s="62"/>
      <c r="X40" s="62"/>
    </row>
    <row r="41" spans="2:24" x14ac:dyDescent="0.25">
      <c r="B41" s="117" t="s">
        <v>247</v>
      </c>
      <c r="C41" s="274" t="s">
        <v>247</v>
      </c>
      <c r="D41" s="176"/>
      <c r="E41" s="188"/>
      <c r="F41" s="187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11"/>
      <c r="R41" s="188"/>
      <c r="S41" s="206"/>
      <c r="T41" s="206"/>
      <c r="U41" s="206"/>
      <c r="V41" s="62"/>
      <c r="W41" s="62"/>
      <c r="X41" s="62"/>
    </row>
    <row r="42" spans="2:24" x14ac:dyDescent="0.25">
      <c r="B42" s="117" t="s">
        <v>254</v>
      </c>
      <c r="C42" s="274" t="s">
        <v>253</v>
      </c>
      <c r="D42" s="176"/>
      <c r="E42" s="188"/>
      <c r="F42" s="187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11"/>
      <c r="R42" s="188"/>
      <c r="S42" s="206"/>
      <c r="T42" s="206"/>
      <c r="U42" s="206"/>
      <c r="V42" s="62"/>
      <c r="W42" s="62"/>
      <c r="X42" s="62"/>
    </row>
    <row r="43" spans="2:24" x14ac:dyDescent="0.25">
      <c r="B43" s="117" t="s">
        <v>245</v>
      </c>
      <c r="C43" s="274" t="s">
        <v>245</v>
      </c>
      <c r="D43" s="176">
        <v>5.45</v>
      </c>
      <c r="E43" s="188"/>
      <c r="F43" s="286">
        <f>Rigidezze!Y41</f>
        <v>53.396336891570101</v>
      </c>
      <c r="G43" s="188"/>
      <c r="H43" s="247">
        <f>Rigidezze!Y42</f>
        <v>29.248899111267956</v>
      </c>
      <c r="I43" s="188"/>
      <c r="J43" s="236">
        <f>Rigidezze!Y48</f>
        <v>10.850323192068428</v>
      </c>
      <c r="K43" s="188"/>
      <c r="L43" s="188"/>
      <c r="M43" s="236">
        <f>Rigidezze!Y48</f>
        <v>10.850323192068428</v>
      </c>
      <c r="N43" s="188"/>
      <c r="O43" s="175">
        <f>Rigidezze!Y44</f>
        <v>15.92755761234188</v>
      </c>
      <c r="P43" s="188"/>
      <c r="Q43" s="288">
        <f>Rigidezze!Y45</f>
        <v>14.993361817218965</v>
      </c>
      <c r="R43" s="188"/>
      <c r="S43" s="206"/>
      <c r="T43" s="206"/>
      <c r="U43" s="206"/>
      <c r="V43" s="62"/>
      <c r="W43" s="62"/>
      <c r="X43" s="62"/>
    </row>
    <row r="44" spans="2:24" x14ac:dyDescent="0.25">
      <c r="D44" s="176"/>
      <c r="E44" s="188"/>
      <c r="F44" s="187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11" t="s">
        <v>205</v>
      </c>
      <c r="R44" s="188"/>
      <c r="S44" s="206"/>
      <c r="T44" s="206"/>
      <c r="U44" s="206"/>
      <c r="V44" s="62"/>
      <c r="W44" s="62"/>
      <c r="X44" s="62"/>
    </row>
    <row r="45" spans="2:24" x14ac:dyDescent="0.25">
      <c r="B45" s="277" t="s">
        <v>247</v>
      </c>
      <c r="C45" s="243" t="s">
        <v>247</v>
      </c>
      <c r="D45" s="176"/>
      <c r="E45" s="188"/>
      <c r="F45" s="187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11"/>
      <c r="R45" s="188"/>
      <c r="S45" s="206"/>
      <c r="T45" s="206"/>
      <c r="U45" s="206"/>
      <c r="V45" s="62"/>
      <c r="W45" s="62"/>
      <c r="X45" s="62"/>
    </row>
    <row r="46" spans="2:24" x14ac:dyDescent="0.25">
      <c r="B46" s="277" t="s">
        <v>254</v>
      </c>
      <c r="C46" s="243" t="s">
        <v>253</v>
      </c>
      <c r="D46" s="176"/>
      <c r="E46" s="188"/>
      <c r="F46" s="187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11"/>
      <c r="R46" s="188"/>
      <c r="S46" s="206"/>
      <c r="T46" s="206"/>
      <c r="U46" s="206"/>
      <c r="V46" s="62"/>
      <c r="W46" s="62"/>
      <c r="X46" s="62"/>
    </row>
    <row r="47" spans="2:24" x14ac:dyDescent="0.25">
      <c r="B47" s="277" t="s">
        <v>246</v>
      </c>
      <c r="C47" s="243" t="s">
        <v>246</v>
      </c>
      <c r="D47" s="176"/>
      <c r="E47" s="188"/>
      <c r="F47" s="187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11"/>
      <c r="R47" s="188"/>
      <c r="S47" s="206"/>
      <c r="T47" s="206"/>
      <c r="U47" s="206"/>
      <c r="V47" s="118" t="s">
        <v>258</v>
      </c>
      <c r="W47" s="291">
        <f>SQRT(T35/T51)</f>
        <v>10.201267704217685</v>
      </c>
      <c r="X47" s="62"/>
    </row>
    <row r="48" spans="2:24" x14ac:dyDescent="0.25">
      <c r="D48" s="176">
        <v>0.15</v>
      </c>
      <c r="E48" s="188"/>
      <c r="F48" s="262">
        <f>Rigidezze!Y43</f>
        <v>41.312931638880116</v>
      </c>
      <c r="G48" s="189"/>
      <c r="H48" s="285">
        <f>Rigidezze!Y47</f>
        <v>13.941983434254535</v>
      </c>
      <c r="I48" s="189"/>
      <c r="J48" s="273">
        <f>Rigidezze!Y49</f>
        <v>7.7174762795019829</v>
      </c>
      <c r="K48" s="189"/>
      <c r="L48" s="189"/>
      <c r="M48" s="273">
        <f>Rigidezze!Y49</f>
        <v>7.7174762795019829</v>
      </c>
      <c r="N48" s="189"/>
      <c r="O48" s="283">
        <f>Rigidezze!Y43</f>
        <v>41.312931638880116</v>
      </c>
      <c r="P48" s="189"/>
      <c r="Q48" s="138">
        <f>Rigidezze!Y43</f>
        <v>41.312931638880116</v>
      </c>
      <c r="R48" s="188"/>
      <c r="S48" s="206"/>
      <c r="T48" s="206"/>
      <c r="U48" s="206"/>
      <c r="V48" s="62"/>
      <c r="W48" s="209"/>
      <c r="X48" s="209"/>
    </row>
    <row r="49" spans="2:24" x14ac:dyDescent="0.25"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207"/>
      <c r="T49" s="207"/>
      <c r="U49" s="207"/>
      <c r="V49" s="178" t="s">
        <v>213</v>
      </c>
      <c r="W49" s="179">
        <v>12.39</v>
      </c>
      <c r="X49" s="210"/>
    </row>
    <row r="50" spans="2:24" x14ac:dyDescent="0.25">
      <c r="B50" s="289" t="s">
        <v>244</v>
      </c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V50" s="180" t="s">
        <v>214</v>
      </c>
      <c r="W50" s="181">
        <f>T52/T51</f>
        <v>11.401699251440622</v>
      </c>
    </row>
    <row r="51" spans="2:24" x14ac:dyDescent="0.25">
      <c r="B51" s="289" t="s">
        <v>254</v>
      </c>
      <c r="D51" s="188" t="s">
        <v>175</v>
      </c>
      <c r="E51" s="188"/>
      <c r="F51" s="29">
        <f>F33+F38</f>
        <v>28.9353452514735</v>
      </c>
      <c r="G51" s="29">
        <f>F43+F48</f>
        <v>94.709268530450217</v>
      </c>
      <c r="H51" s="29">
        <f>H33+H43</f>
        <v>70.561830750148076</v>
      </c>
      <c r="I51" s="29">
        <f>H38+H48</f>
        <v>26.422766640873494</v>
      </c>
      <c r="J51" s="29">
        <f>J33+J38</f>
        <v>67.33832032582464</v>
      </c>
      <c r="K51" s="29">
        <f>J43+J48</f>
        <v>18.56779947157041</v>
      </c>
      <c r="L51" s="29"/>
      <c r="M51" s="29">
        <f>M38+M48</f>
        <v>61.113813171072081</v>
      </c>
      <c r="N51" s="29">
        <f>M33+M43</f>
        <v>24.792306626322961</v>
      </c>
      <c r="O51" s="29">
        <f>O33+O43+O48</f>
        <v>98.553420890102103</v>
      </c>
      <c r="P51" s="29">
        <f>O38</f>
        <v>10.850323192068428</v>
      </c>
      <c r="Q51" s="29">
        <f>Q33+Q48</f>
        <v>82.625863277760232</v>
      </c>
      <c r="R51" s="29">
        <f>Q38+Q43</f>
        <v>29.986723634437929</v>
      </c>
      <c r="T51" s="177">
        <f>R51+Q51+P51+O51+N51+M51+K51+J51+I51+H51+G51+F51</f>
        <v>614.45778176210399</v>
      </c>
    </row>
    <row r="52" spans="2:24" x14ac:dyDescent="0.25">
      <c r="B52" s="289" t="s">
        <v>255</v>
      </c>
      <c r="D52" s="188" t="s">
        <v>211</v>
      </c>
      <c r="E52" s="188"/>
      <c r="F52" s="29">
        <f>F51*F30</f>
        <v>4.3403017877210246</v>
      </c>
      <c r="G52" s="29">
        <f>G51*F31</f>
        <v>52.090097691747623</v>
      </c>
      <c r="H52" s="29">
        <f>H51*H30</f>
        <v>285.77541453809971</v>
      </c>
      <c r="I52" s="29">
        <f>I51*H31</f>
        <v>101.72765156736295</v>
      </c>
      <c r="J52" s="29">
        <f>J51*J30</f>
        <v>595.94413488354803</v>
      </c>
      <c r="K52" s="29">
        <f>K51*J31</f>
        <v>168.03858521771224</v>
      </c>
      <c r="L52" s="29"/>
      <c r="M52" s="29">
        <f>M51*M30</f>
        <v>834.20354978513399</v>
      </c>
      <c r="N52" s="29">
        <f>N51*M31</f>
        <v>343.37344677457298</v>
      </c>
      <c r="O52" s="29">
        <f>O51*O30</f>
        <v>1857.7319837784248</v>
      </c>
      <c r="P52" s="29">
        <f>P51*O31</f>
        <v>206.69865680890356</v>
      </c>
      <c r="Q52" s="29">
        <f>Q51*Q30</f>
        <v>1879.7383895690452</v>
      </c>
      <c r="R52" s="29">
        <f>R51*Q31</f>
        <v>676.20061795657534</v>
      </c>
      <c r="T52" s="177">
        <f>R52+Q52+P52+O52+N52+M52+K52+J52+I52+H52+G52+F52</f>
        <v>7005.8628303588466</v>
      </c>
      <c r="V52" s="271" t="s">
        <v>250</v>
      </c>
      <c r="W52" s="272">
        <f>W49-W50</f>
        <v>0.98830074855937866</v>
      </c>
    </row>
    <row r="53" spans="2:24" x14ac:dyDescent="0.25">
      <c r="D53" s="188" t="s">
        <v>212</v>
      </c>
      <c r="E53" s="188"/>
      <c r="F53" s="29">
        <f>F51*(F31^2)</f>
        <v>8.7529419385707357</v>
      </c>
      <c r="G53" s="29">
        <f>G51*(F31^2)</f>
        <v>28.649553730461196</v>
      </c>
      <c r="H53" s="29">
        <f>H51*(H30^2)</f>
        <v>1157.3904288793037</v>
      </c>
      <c r="I53" s="29">
        <f>I52*H31</f>
        <v>391.6514585343474</v>
      </c>
      <c r="J53" s="29">
        <f>J51*(J30^2)</f>
        <v>5274.1055937193996</v>
      </c>
      <c r="K53" s="29">
        <f>K51*(J31^2)</f>
        <v>1520.7491962202957</v>
      </c>
      <c r="L53" s="29"/>
      <c r="M53" s="29">
        <f>M51*(M30^2)</f>
        <v>11386.878454567079</v>
      </c>
      <c r="N53" s="29">
        <f>N51*(M31^2)</f>
        <v>4755.7222378278357</v>
      </c>
      <c r="O53" s="29">
        <f>O51*(O30^2)</f>
        <v>35018.247894223307</v>
      </c>
      <c r="P53" s="29">
        <f>P51*(O31^2)</f>
        <v>3937.6094122096133</v>
      </c>
      <c r="Q53" s="29">
        <f>Q51*(Q30^2)</f>
        <v>42764.048362695779</v>
      </c>
      <c r="R53" s="29">
        <f>R51*(Q31^2)</f>
        <v>15248.323934920774</v>
      </c>
      <c r="T53" s="177">
        <f>R53+Q53+P53+O53+N53+M53+K53+J53+I53+H53+G53+F53</f>
        <v>121492.12946946676</v>
      </c>
      <c r="U53" s="188"/>
      <c r="V53" s="269">
        <v>0.05</v>
      </c>
      <c r="W53" s="270">
        <f>(Q30/100)*5</f>
        <v>1.1375</v>
      </c>
    </row>
  </sheetData>
  <pageMargins left="0.7" right="0.7" top="0.75" bottom="0.75" header="0.3" footer="0.3"/>
  <ignoredErrors>
    <ignoredError sqref="G52 I52:I53 N52:N53 P52:P53" formula="1"/>
  </ignoredErrors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G211"/>
  <sheetViews>
    <sheetView zoomScale="80" zoomScaleNormal="80" workbookViewId="0">
      <selection activeCell="B7" sqref="B7"/>
    </sheetView>
  </sheetViews>
  <sheetFormatPr defaultRowHeight="15" x14ac:dyDescent="0.25"/>
  <cols>
    <col min="2" max="2" width="34.5703125" customWidth="1"/>
    <col min="3" max="3" width="14.28515625" customWidth="1"/>
    <col min="4" max="4" width="15.85546875" customWidth="1"/>
    <col min="5" max="5" width="13.42578125" customWidth="1"/>
    <col min="6" max="6" width="10.42578125" customWidth="1"/>
    <col min="7" max="7" width="11.5703125" customWidth="1"/>
    <col min="8" max="8" width="11.140625" customWidth="1"/>
    <col min="9" max="9" width="20.85546875" customWidth="1"/>
    <col min="10" max="10" width="12.7109375" customWidth="1"/>
    <col min="11" max="11" width="13.7109375" customWidth="1"/>
    <col min="12" max="12" width="20.28515625" customWidth="1"/>
    <col min="15" max="15" width="12.28515625" style="15" customWidth="1"/>
    <col min="16" max="16" width="9.140625" style="15"/>
    <col min="17" max="17" width="11.140625" style="15" customWidth="1"/>
    <col min="18" max="19" width="9.140625" style="15"/>
    <col min="20" max="20" width="17.140625" style="15" customWidth="1"/>
    <col min="21" max="21" width="12.140625" style="463" customWidth="1"/>
    <col min="22" max="22" width="11" style="463" customWidth="1"/>
    <col min="23" max="23" width="10.7109375" style="463" customWidth="1"/>
    <col min="24" max="24" width="9.140625" style="15"/>
    <col min="25" max="25" width="12" style="15" customWidth="1"/>
    <col min="26" max="26" width="11.85546875" style="15" customWidth="1"/>
    <col min="27" max="27" width="9.85546875" style="15" customWidth="1"/>
    <col min="28" max="28" width="10.28515625" style="15" customWidth="1"/>
    <col min="29" max="29" width="13" style="15" customWidth="1"/>
    <col min="30" max="30" width="13.85546875" style="15" customWidth="1"/>
    <col min="31" max="32" width="13.28515625" style="15" customWidth="1"/>
    <col min="33" max="33" width="12.140625" style="15" customWidth="1"/>
    <col min="34" max="34" width="13.85546875" style="15" customWidth="1"/>
    <col min="35" max="35" width="14.140625" style="15" customWidth="1"/>
    <col min="36" max="36" width="9.140625" style="15"/>
    <col min="37" max="37" width="11.42578125" style="15" customWidth="1"/>
    <col min="38" max="38" width="14.42578125" style="15" customWidth="1"/>
    <col min="39" max="39" width="11.5703125" style="15" customWidth="1"/>
    <col min="40" max="40" width="13.28515625" style="15" customWidth="1"/>
    <col min="41" max="41" width="12.42578125" style="15" customWidth="1"/>
    <col min="42" max="42" width="11.140625" style="15" customWidth="1"/>
    <col min="43" max="43" width="14.140625" style="15" customWidth="1"/>
    <col min="44" max="44" width="14.5703125" style="15" customWidth="1"/>
    <col min="45" max="45" width="12.140625" style="15" customWidth="1"/>
    <col min="46" max="46" width="10.28515625" style="15" customWidth="1"/>
    <col min="47" max="47" width="13.28515625" style="15" customWidth="1"/>
    <col min="48" max="48" width="12" style="15" customWidth="1"/>
    <col min="49" max="50" width="9.140625" style="15"/>
    <col min="51" max="51" width="11.5703125" style="15" customWidth="1"/>
    <col min="52" max="52" width="13.5703125" style="15" customWidth="1"/>
    <col min="53" max="53" width="10" style="15" customWidth="1"/>
  </cols>
  <sheetData>
    <row r="1" spans="2:12" x14ac:dyDescent="0.25">
      <c r="C1" s="298" t="s">
        <v>273</v>
      </c>
      <c r="D1" s="299">
        <v>1.3</v>
      </c>
    </row>
    <row r="2" spans="2:12" ht="24" customHeight="1" x14ac:dyDescent="0.25">
      <c r="C2" s="298" t="s">
        <v>274</v>
      </c>
      <c r="D2" s="299">
        <v>1.5</v>
      </c>
    </row>
    <row r="4" spans="2:12" ht="30.75" customHeight="1" x14ac:dyDescent="0.25">
      <c r="B4" s="378"/>
      <c r="C4" s="379" t="s">
        <v>275</v>
      </c>
      <c r="D4" s="379" t="s">
        <v>276</v>
      </c>
      <c r="E4" s="379" t="s">
        <v>270</v>
      </c>
      <c r="F4" s="392" t="s">
        <v>277</v>
      </c>
      <c r="G4" s="379" t="s">
        <v>386</v>
      </c>
      <c r="H4" s="379" t="s">
        <v>394</v>
      </c>
      <c r="I4" s="379" t="s">
        <v>271</v>
      </c>
      <c r="J4" s="379" t="s">
        <v>275</v>
      </c>
      <c r="K4" s="379" t="s">
        <v>398</v>
      </c>
      <c r="L4" s="379" t="s">
        <v>272</v>
      </c>
    </row>
    <row r="5" spans="2:12" ht="17.25" customHeight="1" x14ac:dyDescent="0.25">
      <c r="B5" s="297" t="s">
        <v>264</v>
      </c>
      <c r="C5" s="116">
        <f>'Analisi dei Carichi'!C36</f>
        <v>3.8555999999999995</v>
      </c>
      <c r="D5" s="116"/>
      <c r="E5" s="373">
        <f>'Analisi dei Carichi'!E36</f>
        <v>2</v>
      </c>
      <c r="F5" s="393">
        <v>0.3</v>
      </c>
      <c r="G5" s="116">
        <f>C5*$D$1</f>
        <v>5.0122799999999996</v>
      </c>
      <c r="H5" s="116">
        <f t="shared" ref="H5:H12" si="0">D5*$D$2+E5*$D$2</f>
        <v>3</v>
      </c>
      <c r="I5" s="391">
        <f>G5+H5</f>
        <v>8.0122800000000005</v>
      </c>
      <c r="J5" s="350">
        <f>C5</f>
        <v>3.8555999999999995</v>
      </c>
      <c r="K5" s="350">
        <f>D5+E5*F5</f>
        <v>0.6</v>
      </c>
      <c r="L5" s="391">
        <f>J5+K5</f>
        <v>4.4555999999999996</v>
      </c>
    </row>
    <row r="6" spans="2:12" x14ac:dyDescent="0.25">
      <c r="B6" s="297" t="s">
        <v>281</v>
      </c>
      <c r="C6" s="373"/>
      <c r="D6" s="373">
        <f>'Analisi dei Carichi'!D36</f>
        <v>1.2</v>
      </c>
      <c r="E6" s="373"/>
      <c r="F6" s="393">
        <v>0.3</v>
      </c>
      <c r="G6" s="116">
        <f t="shared" ref="G6:G12" si="1">C6*$D$1</f>
        <v>0</v>
      </c>
      <c r="H6" s="116">
        <f t="shared" si="0"/>
        <v>1.7999999999999998</v>
      </c>
      <c r="I6" s="391">
        <f t="shared" ref="I6:I13" si="2">G6+H6</f>
        <v>1.7999999999999998</v>
      </c>
      <c r="J6" s="350">
        <f t="shared" ref="J6:J12" si="3">C6</f>
        <v>0</v>
      </c>
      <c r="K6" s="350">
        <f t="shared" ref="K6:K12" si="4">D6+E6*F6</f>
        <v>1.2</v>
      </c>
      <c r="L6" s="391">
        <f t="shared" ref="L6:L12" si="5">J6+K6</f>
        <v>1.2</v>
      </c>
    </row>
    <row r="7" spans="2:12" x14ac:dyDescent="0.25">
      <c r="B7" s="297" t="s">
        <v>397</v>
      </c>
      <c r="C7" s="116">
        <f>'Analisi dei Carichi'!C36</f>
        <v>3.8555999999999995</v>
      </c>
      <c r="D7" s="388">
        <f>'Analisi dei Carichi'!D36</f>
        <v>1.2</v>
      </c>
      <c r="E7" s="388">
        <f>'Analisi dei Carichi'!E36</f>
        <v>2</v>
      </c>
      <c r="F7" s="393">
        <v>0.3</v>
      </c>
      <c r="G7" s="116">
        <f t="shared" si="1"/>
        <v>5.0122799999999996</v>
      </c>
      <c r="H7" s="116">
        <f t="shared" si="0"/>
        <v>4.8</v>
      </c>
      <c r="I7" s="391">
        <f t="shared" si="2"/>
        <v>9.8122799999999994</v>
      </c>
      <c r="J7" s="350">
        <f>C7</f>
        <v>3.8555999999999995</v>
      </c>
      <c r="K7" s="350">
        <f t="shared" si="4"/>
        <v>1.7999999999999998</v>
      </c>
      <c r="L7" s="391">
        <f t="shared" si="5"/>
        <v>5.6555999999999997</v>
      </c>
    </row>
    <row r="8" spans="2:12" x14ac:dyDescent="0.25">
      <c r="B8" s="297" t="s">
        <v>265</v>
      </c>
      <c r="C8" s="116">
        <f>4</f>
        <v>4</v>
      </c>
      <c r="D8" s="373"/>
      <c r="E8" s="373">
        <v>2</v>
      </c>
      <c r="F8" s="393">
        <v>0.3</v>
      </c>
      <c r="G8" s="116">
        <f t="shared" si="1"/>
        <v>5.2</v>
      </c>
      <c r="H8" s="116">
        <f t="shared" si="0"/>
        <v>3</v>
      </c>
      <c r="I8" s="391">
        <f t="shared" si="2"/>
        <v>8.1999999999999993</v>
      </c>
      <c r="J8" s="350">
        <f t="shared" si="3"/>
        <v>4</v>
      </c>
      <c r="K8" s="350">
        <f t="shared" si="4"/>
        <v>0.6</v>
      </c>
      <c r="L8" s="391">
        <f t="shared" si="5"/>
        <v>4.5999999999999996</v>
      </c>
    </row>
    <row r="9" spans="2:12" x14ac:dyDescent="0.25">
      <c r="B9" s="297" t="s">
        <v>266</v>
      </c>
      <c r="C9" s="116">
        <f>'Analisi dei Carichi'!C47</f>
        <v>3.3155999999999994</v>
      </c>
      <c r="D9" s="373"/>
      <c r="E9" s="373">
        <v>0.5</v>
      </c>
      <c r="F9" s="393">
        <v>0</v>
      </c>
      <c r="G9" s="116">
        <f t="shared" si="1"/>
        <v>4.3102799999999997</v>
      </c>
      <c r="H9" s="116">
        <f t="shared" si="0"/>
        <v>0.75</v>
      </c>
      <c r="I9" s="391">
        <f t="shared" si="2"/>
        <v>5.0602799999999997</v>
      </c>
      <c r="J9" s="350">
        <f t="shared" si="3"/>
        <v>3.3155999999999994</v>
      </c>
      <c r="K9" s="350">
        <f t="shared" si="4"/>
        <v>0</v>
      </c>
      <c r="L9" s="391">
        <f t="shared" si="5"/>
        <v>3.3155999999999994</v>
      </c>
    </row>
    <row r="10" spans="2:12" x14ac:dyDescent="0.25">
      <c r="B10" s="297" t="s">
        <v>267</v>
      </c>
      <c r="C10" s="116">
        <f>'Analisi dei Carichi'!C42</f>
        <v>4.1099999999999994</v>
      </c>
      <c r="D10" s="373"/>
      <c r="E10" s="374">
        <v>4</v>
      </c>
      <c r="F10" s="393">
        <v>0.6</v>
      </c>
      <c r="G10" s="116">
        <f t="shared" si="1"/>
        <v>5.3429999999999991</v>
      </c>
      <c r="H10" s="116">
        <f t="shared" si="0"/>
        <v>6</v>
      </c>
      <c r="I10" s="391">
        <f t="shared" si="2"/>
        <v>11.343</v>
      </c>
      <c r="J10" s="350">
        <f t="shared" si="3"/>
        <v>4.1099999999999994</v>
      </c>
      <c r="K10" s="350">
        <f t="shared" si="4"/>
        <v>2.4</v>
      </c>
      <c r="L10" s="391">
        <f t="shared" si="5"/>
        <v>6.51</v>
      </c>
    </row>
    <row r="11" spans="2:12" x14ac:dyDescent="0.25">
      <c r="B11" s="297" t="s">
        <v>268</v>
      </c>
      <c r="C11" s="116">
        <f>3.9</f>
        <v>3.9</v>
      </c>
      <c r="D11" s="373"/>
      <c r="E11" s="373">
        <v>0.5</v>
      </c>
      <c r="F11" s="393">
        <v>0</v>
      </c>
      <c r="G11" s="116">
        <f t="shared" si="1"/>
        <v>5.07</v>
      </c>
      <c r="H11" s="116">
        <f t="shared" si="0"/>
        <v>0.75</v>
      </c>
      <c r="I11" s="391">
        <f t="shared" si="2"/>
        <v>5.82</v>
      </c>
      <c r="J11" s="350">
        <f t="shared" si="3"/>
        <v>3.9</v>
      </c>
      <c r="K11" s="350">
        <f t="shared" si="4"/>
        <v>0</v>
      </c>
      <c r="L11" s="391">
        <f t="shared" si="5"/>
        <v>3.9</v>
      </c>
    </row>
    <row r="12" spans="2:12" x14ac:dyDescent="0.25">
      <c r="B12" s="297" t="s">
        <v>269</v>
      </c>
      <c r="C12" s="116">
        <f>'Analisi dei Carichi'!C43</f>
        <v>4.8</v>
      </c>
      <c r="D12" s="373"/>
      <c r="E12" s="373">
        <v>4</v>
      </c>
      <c r="F12" s="393">
        <v>0.6</v>
      </c>
      <c r="G12" s="116">
        <f t="shared" si="1"/>
        <v>6.24</v>
      </c>
      <c r="H12" s="116">
        <f t="shared" si="0"/>
        <v>6</v>
      </c>
      <c r="I12" s="391">
        <f t="shared" si="2"/>
        <v>12.24</v>
      </c>
      <c r="J12" s="350">
        <f t="shared" si="3"/>
        <v>4.8</v>
      </c>
      <c r="K12" s="350">
        <f t="shared" si="4"/>
        <v>2.4</v>
      </c>
      <c r="L12" s="391">
        <f t="shared" si="5"/>
        <v>7.1999999999999993</v>
      </c>
    </row>
    <row r="13" spans="2:12" x14ac:dyDescent="0.25">
      <c r="B13" s="395" t="s">
        <v>387</v>
      </c>
      <c r="C13" s="116">
        <f>'Analisi dei Carichi'!C38</f>
        <v>4.4550000000000001</v>
      </c>
      <c r="D13" s="297"/>
      <c r="E13" s="297"/>
      <c r="G13" s="116">
        <f t="shared" ref="G13:G20" si="6">C13*$D$1</f>
        <v>5.7915000000000001</v>
      </c>
      <c r="H13" s="388"/>
      <c r="I13" s="391">
        <f t="shared" si="2"/>
        <v>5.7915000000000001</v>
      </c>
      <c r="J13" s="350">
        <f t="shared" ref="J13" si="7">C13</f>
        <v>4.4550000000000001</v>
      </c>
      <c r="K13" s="350">
        <f t="shared" ref="K13" si="8">D13+E13*F13</f>
        <v>0</v>
      </c>
      <c r="L13" s="391">
        <f t="shared" ref="L13" si="9">J13+K13</f>
        <v>4.4550000000000001</v>
      </c>
    </row>
    <row r="14" spans="2:12" x14ac:dyDescent="0.25">
      <c r="B14" s="395" t="s">
        <v>278</v>
      </c>
      <c r="C14" s="116">
        <f>'Analisi dei Carichi'!C39</f>
        <v>3.7050000000000001</v>
      </c>
      <c r="D14" s="373"/>
      <c r="E14" s="373"/>
      <c r="F14" s="393"/>
      <c r="G14" s="116">
        <f t="shared" si="6"/>
        <v>4.8165000000000004</v>
      </c>
      <c r="H14" s="116"/>
      <c r="I14" s="391">
        <f t="shared" ref="I14:I20" si="10">G14+H14</f>
        <v>4.8165000000000004</v>
      </c>
      <c r="J14" s="350">
        <f t="shared" ref="J14:J20" si="11">C14</f>
        <v>3.7050000000000001</v>
      </c>
      <c r="K14" s="350">
        <f t="shared" ref="K14:K20" si="12">D14+E14*F14</f>
        <v>0</v>
      </c>
      <c r="L14" s="391">
        <f t="shared" ref="L14:L20" si="13">J14+K14</f>
        <v>3.7050000000000001</v>
      </c>
    </row>
    <row r="15" spans="2:12" x14ac:dyDescent="0.25">
      <c r="B15" s="395" t="s">
        <v>279</v>
      </c>
      <c r="C15" s="116">
        <f>'Analisi dei Carichi'!C40</f>
        <v>2.9550000000000001</v>
      </c>
      <c r="D15" s="373"/>
      <c r="E15" s="373"/>
      <c r="F15" s="393"/>
      <c r="G15" s="116">
        <f t="shared" si="6"/>
        <v>3.8415000000000004</v>
      </c>
      <c r="H15" s="116"/>
      <c r="I15" s="391">
        <f t="shared" si="10"/>
        <v>3.8415000000000004</v>
      </c>
      <c r="J15" s="350">
        <f t="shared" si="11"/>
        <v>2.9550000000000001</v>
      </c>
      <c r="K15" s="350">
        <f t="shared" si="12"/>
        <v>0</v>
      </c>
      <c r="L15" s="391">
        <f t="shared" si="13"/>
        <v>2.9550000000000001</v>
      </c>
    </row>
    <row r="16" spans="2:12" x14ac:dyDescent="0.25">
      <c r="B16" s="395" t="s">
        <v>311</v>
      </c>
      <c r="C16" s="116">
        <f>'Analisi dei Carichi'!C41</f>
        <v>4.7640000000000002</v>
      </c>
      <c r="D16" s="373"/>
      <c r="E16" s="373"/>
      <c r="F16" s="393"/>
      <c r="G16" s="116">
        <f t="shared" si="6"/>
        <v>6.1932000000000009</v>
      </c>
      <c r="H16" s="116"/>
      <c r="I16" s="391">
        <f t="shared" si="10"/>
        <v>6.1932000000000009</v>
      </c>
      <c r="J16" s="350">
        <f t="shared" si="11"/>
        <v>4.7640000000000002</v>
      </c>
      <c r="K16" s="350">
        <f t="shared" si="12"/>
        <v>0</v>
      </c>
      <c r="L16" s="391">
        <f t="shared" si="13"/>
        <v>4.7640000000000002</v>
      </c>
    </row>
    <row r="17" spans="2:12" x14ac:dyDescent="0.25">
      <c r="B17" s="316" t="s">
        <v>280</v>
      </c>
      <c r="C17" s="373">
        <f>'Analisi dei Carichi'!C37</f>
        <v>5.8000000000000007</v>
      </c>
      <c r="D17" s="373"/>
      <c r="E17" s="373"/>
      <c r="F17" s="393"/>
      <c r="G17" s="116">
        <f t="shared" si="6"/>
        <v>7.5400000000000009</v>
      </c>
      <c r="H17" s="116"/>
      <c r="I17" s="391">
        <f t="shared" si="10"/>
        <v>7.5400000000000009</v>
      </c>
      <c r="J17" s="350">
        <f t="shared" si="11"/>
        <v>5.8000000000000007</v>
      </c>
      <c r="K17" s="350">
        <f t="shared" si="12"/>
        <v>0</v>
      </c>
      <c r="L17" s="391">
        <f t="shared" si="13"/>
        <v>5.8000000000000007</v>
      </c>
    </row>
    <row r="18" spans="2:12" x14ac:dyDescent="0.25">
      <c r="B18" s="376" t="s">
        <v>281</v>
      </c>
      <c r="C18" s="377">
        <v>3</v>
      </c>
      <c r="D18" s="377"/>
      <c r="E18" s="377"/>
      <c r="F18" s="394"/>
      <c r="G18" s="116">
        <f t="shared" si="6"/>
        <v>3.9000000000000004</v>
      </c>
      <c r="H18" s="116"/>
      <c r="I18" s="391">
        <f t="shared" si="10"/>
        <v>3.9000000000000004</v>
      </c>
      <c r="J18" s="350">
        <f t="shared" si="11"/>
        <v>3</v>
      </c>
      <c r="K18" s="350">
        <f t="shared" si="12"/>
        <v>0</v>
      </c>
      <c r="L18" s="391">
        <f t="shared" si="13"/>
        <v>3</v>
      </c>
    </row>
    <row r="19" spans="2:12" x14ac:dyDescent="0.25">
      <c r="B19" s="316" t="s">
        <v>160</v>
      </c>
      <c r="C19" s="116">
        <f>'Analisi dei Carichi'!C44</f>
        <v>15.225000000000001</v>
      </c>
      <c r="D19" s="373"/>
      <c r="E19" s="373"/>
      <c r="F19" s="393"/>
      <c r="G19" s="116">
        <f t="shared" si="6"/>
        <v>19.792500000000004</v>
      </c>
      <c r="H19" s="116"/>
      <c r="I19" s="391">
        <f t="shared" si="10"/>
        <v>19.792500000000004</v>
      </c>
      <c r="J19" s="350">
        <f t="shared" si="11"/>
        <v>15.225000000000001</v>
      </c>
      <c r="K19" s="350">
        <f t="shared" si="12"/>
        <v>0</v>
      </c>
      <c r="L19" s="391">
        <f t="shared" si="13"/>
        <v>15.225000000000001</v>
      </c>
    </row>
    <row r="20" spans="2:12" x14ac:dyDescent="0.25">
      <c r="B20" s="316" t="s">
        <v>303</v>
      </c>
      <c r="C20" s="116">
        <f>'Analisi dei Carichi'!C46</f>
        <v>10.125</v>
      </c>
      <c r="D20" s="388"/>
      <c r="E20" s="388"/>
      <c r="F20" s="393"/>
      <c r="G20" s="116">
        <f t="shared" si="6"/>
        <v>13.1625</v>
      </c>
      <c r="H20" s="116"/>
      <c r="I20" s="391">
        <f t="shared" si="10"/>
        <v>13.1625</v>
      </c>
      <c r="J20" s="350">
        <f t="shared" si="11"/>
        <v>10.125</v>
      </c>
      <c r="K20" s="350">
        <f t="shared" si="12"/>
        <v>0</v>
      </c>
      <c r="L20" s="391">
        <f t="shared" si="13"/>
        <v>10.125</v>
      </c>
    </row>
    <row r="35" spans="22:59" x14ac:dyDescent="0.25">
      <c r="BB35" s="15"/>
      <c r="BC35" s="15"/>
      <c r="BD35" s="15"/>
      <c r="BE35" s="15"/>
      <c r="BF35" s="15"/>
      <c r="BG35" s="15"/>
    </row>
    <row r="36" spans="22:59" x14ac:dyDescent="0.25">
      <c r="BB36" s="15"/>
      <c r="BC36" s="15"/>
      <c r="BD36" s="15"/>
      <c r="BE36" s="15"/>
      <c r="BF36" s="15"/>
      <c r="BG36" s="15"/>
    </row>
    <row r="37" spans="22:59" x14ac:dyDescent="0.25">
      <c r="BB37" s="15"/>
      <c r="BC37" s="15"/>
      <c r="BD37" s="15"/>
      <c r="BE37" s="15"/>
      <c r="BF37" s="15"/>
      <c r="BG37" s="15"/>
    </row>
    <row r="38" spans="22:59" x14ac:dyDescent="0.25">
      <c r="BB38" s="15"/>
      <c r="BC38" s="15"/>
      <c r="BD38" s="15"/>
      <c r="BE38" s="15"/>
      <c r="BF38" s="15"/>
      <c r="BG38" s="15"/>
    </row>
    <row r="39" spans="22:59" x14ac:dyDescent="0.25">
      <c r="BB39" s="15"/>
      <c r="BC39" s="15"/>
      <c r="BD39" s="15"/>
      <c r="BE39" s="15"/>
      <c r="BF39" s="15"/>
      <c r="BG39" s="15"/>
    </row>
    <row r="40" spans="22:59" x14ac:dyDescent="0.25">
      <c r="BB40" s="15"/>
      <c r="BC40" s="15"/>
      <c r="BD40" s="15"/>
      <c r="BE40" s="15"/>
      <c r="BF40" s="15"/>
      <c r="BG40" s="15"/>
    </row>
    <row r="41" spans="22:59" x14ac:dyDescent="0.25">
      <c r="AY41" s="463"/>
      <c r="AZ41" s="463"/>
      <c r="BA41" s="463"/>
      <c r="BB41" s="15"/>
      <c r="BC41" s="15"/>
      <c r="BD41" s="15"/>
      <c r="BE41" s="15"/>
      <c r="BF41" s="15"/>
      <c r="BG41" s="15"/>
    </row>
    <row r="42" spans="22:59" x14ac:dyDescent="0.25">
      <c r="AU42" s="389"/>
      <c r="AV42" s="389"/>
      <c r="AW42" s="389"/>
      <c r="AX42" s="389"/>
      <c r="AY42" s="463"/>
      <c r="AZ42" s="463"/>
      <c r="BA42" s="463"/>
      <c r="BB42" s="15"/>
      <c r="BC42" s="15"/>
      <c r="BD42" s="15"/>
      <c r="BE42" s="15"/>
      <c r="BF42" s="15"/>
      <c r="BG42" s="15"/>
    </row>
    <row r="43" spans="22:59" x14ac:dyDescent="0.25">
      <c r="AU43" s="463"/>
      <c r="AV43" s="463"/>
      <c r="AW43" s="389"/>
      <c r="AX43" s="397"/>
      <c r="AY43" s="463"/>
      <c r="AZ43" s="397"/>
      <c r="BA43" s="389"/>
      <c r="BB43" s="15"/>
      <c r="BC43" s="15"/>
      <c r="BD43" s="15"/>
      <c r="BE43" s="15"/>
      <c r="BF43" s="15"/>
      <c r="BG43" s="15"/>
    </row>
    <row r="44" spans="22:59" x14ac:dyDescent="0.25">
      <c r="AX44" s="208"/>
      <c r="BB44" s="15"/>
      <c r="BC44" s="15"/>
      <c r="BD44" s="15"/>
      <c r="BE44" s="15"/>
      <c r="BF44" s="15"/>
      <c r="BG44" s="15"/>
    </row>
    <row r="45" spans="22:59" x14ac:dyDescent="0.25">
      <c r="AU45" s="220"/>
      <c r="AV45" s="220"/>
      <c r="AW45" s="220"/>
      <c r="AX45" s="220"/>
      <c r="AY45" s="220"/>
      <c r="AZ45" s="220"/>
      <c r="BA45" s="220"/>
      <c r="BB45" s="15"/>
      <c r="BC45" s="15"/>
      <c r="BD45" s="15"/>
      <c r="BE45" s="15"/>
      <c r="BF45" s="15"/>
      <c r="BG45" s="15"/>
    </row>
    <row r="46" spans="22:59" x14ac:dyDescent="0.25">
      <c r="AU46" s="220"/>
      <c r="AW46" s="220"/>
      <c r="AX46" s="220"/>
      <c r="AY46" s="220"/>
      <c r="AZ46" s="220"/>
      <c r="BA46" s="220"/>
      <c r="BB46" s="15"/>
      <c r="BC46" s="15"/>
      <c r="BD46" s="15"/>
      <c r="BE46" s="15"/>
      <c r="BF46" s="15"/>
      <c r="BG46" s="15"/>
    </row>
    <row r="47" spans="22:59" x14ac:dyDescent="0.25">
      <c r="V47" s="467"/>
      <c r="W47" s="467"/>
      <c r="AU47" s="220"/>
      <c r="AW47" s="220"/>
      <c r="AX47" s="220"/>
      <c r="AY47" s="220"/>
      <c r="AZ47" s="220"/>
      <c r="BA47" s="220"/>
      <c r="BB47" s="15"/>
      <c r="BC47" s="15"/>
      <c r="BD47" s="15"/>
      <c r="BE47" s="15"/>
      <c r="BF47" s="15"/>
      <c r="BG47" s="15"/>
    </row>
    <row r="48" spans="22:59" x14ac:dyDescent="0.25">
      <c r="V48" s="468"/>
      <c r="W48" s="468"/>
      <c r="AU48" s="220"/>
      <c r="AW48" s="220"/>
      <c r="AX48" s="220"/>
      <c r="AY48" s="220"/>
      <c r="AZ48" s="220"/>
      <c r="BA48" s="220"/>
      <c r="BB48" s="15"/>
      <c r="BC48" s="15"/>
      <c r="BD48" s="15"/>
      <c r="BE48" s="15"/>
      <c r="BF48" s="15"/>
      <c r="BG48" s="15"/>
    </row>
    <row r="49" spans="15:59" x14ac:dyDescent="0.25">
      <c r="O49" s="469"/>
      <c r="Q49" s="469"/>
      <c r="U49" s="470"/>
      <c r="BB49" s="15"/>
      <c r="BC49" s="15"/>
      <c r="BD49" s="15"/>
      <c r="BE49" s="15"/>
      <c r="BF49" s="15"/>
      <c r="BG49" s="15"/>
    </row>
    <row r="50" spans="15:59" x14ac:dyDescent="0.25">
      <c r="P50" s="463"/>
      <c r="R50" s="463"/>
      <c r="U50" s="400"/>
      <c r="AA50" s="463"/>
      <c r="AF50" s="463"/>
      <c r="AK50" s="463"/>
      <c r="AP50" s="463"/>
      <c r="AX50" s="208"/>
      <c r="BB50" s="15"/>
      <c r="BC50" s="15"/>
      <c r="BD50" s="15"/>
      <c r="BE50" s="15"/>
      <c r="BF50" s="15"/>
      <c r="BG50" s="15"/>
    </row>
    <row r="51" spans="15:59" x14ac:dyDescent="0.25">
      <c r="P51" s="463"/>
      <c r="R51" s="463"/>
      <c r="AA51" s="463"/>
      <c r="AF51" s="463"/>
      <c r="AK51" s="463"/>
      <c r="AO51" s="463"/>
      <c r="AP51" s="463"/>
      <c r="AQ51" s="463"/>
      <c r="AR51" s="463"/>
      <c r="AS51" s="463"/>
      <c r="AU51" s="220"/>
      <c r="AV51" s="220"/>
      <c r="AW51" s="220"/>
      <c r="AX51" s="220"/>
      <c r="AY51" s="220"/>
      <c r="AZ51" s="220"/>
      <c r="BA51" s="220"/>
      <c r="BB51" s="15"/>
      <c r="BC51" s="15"/>
      <c r="BD51" s="15"/>
      <c r="BE51" s="15"/>
      <c r="BF51" s="15"/>
      <c r="BG51" s="15"/>
    </row>
    <row r="52" spans="15:59" x14ac:dyDescent="0.25">
      <c r="P52" s="463"/>
      <c r="R52" s="463"/>
      <c r="W52" s="162"/>
      <c r="X52" s="463"/>
      <c r="Y52" s="162"/>
      <c r="Z52" s="463"/>
      <c r="AA52" s="463"/>
      <c r="AB52" s="162"/>
      <c r="AC52" s="463"/>
      <c r="AD52" s="162"/>
      <c r="AE52" s="463"/>
      <c r="AF52" s="463"/>
      <c r="AG52" s="162"/>
      <c r="AH52" s="463"/>
      <c r="AI52" s="162"/>
      <c r="AJ52" s="463"/>
      <c r="AK52" s="463"/>
      <c r="AL52" s="162"/>
      <c r="AM52" s="463"/>
      <c r="AN52" s="162"/>
      <c r="AO52" s="463"/>
      <c r="AP52" s="463"/>
      <c r="AQ52" s="162"/>
      <c r="AR52" s="463"/>
      <c r="AS52" s="162"/>
      <c r="AU52" s="220"/>
      <c r="AW52" s="220"/>
      <c r="AX52" s="220"/>
      <c r="AY52" s="220"/>
      <c r="AZ52" s="220"/>
      <c r="BA52" s="220"/>
      <c r="BB52" s="15"/>
      <c r="BC52" s="15"/>
      <c r="BD52" s="15"/>
      <c r="BE52" s="15"/>
      <c r="BF52" s="15"/>
      <c r="BG52" s="15"/>
    </row>
    <row r="53" spans="15:59" x14ac:dyDescent="0.25">
      <c r="P53" s="463"/>
      <c r="R53" s="463"/>
      <c r="W53" s="15"/>
      <c r="X53" s="463"/>
      <c r="Z53" s="463"/>
      <c r="AA53" s="463"/>
      <c r="AB53" s="463"/>
      <c r="AC53" s="463"/>
      <c r="AD53" s="463"/>
      <c r="AE53" s="463"/>
      <c r="AF53" s="463"/>
      <c r="AG53" s="463"/>
      <c r="AH53" s="463"/>
      <c r="AI53" s="463"/>
      <c r="AJ53" s="463"/>
      <c r="AK53" s="107"/>
      <c r="AL53" s="107"/>
      <c r="AM53" s="107"/>
      <c r="AN53" s="107"/>
      <c r="AO53" s="107"/>
      <c r="AP53" s="107"/>
      <c r="AQ53" s="107"/>
      <c r="AR53" s="107"/>
      <c r="AS53" s="107"/>
      <c r="AU53" s="220"/>
      <c r="AW53" s="220"/>
      <c r="AX53" s="220"/>
      <c r="AY53" s="220"/>
      <c r="AZ53" s="220"/>
      <c r="BA53" s="220"/>
      <c r="BB53" s="15"/>
      <c r="BC53" s="15"/>
      <c r="BD53" s="15"/>
      <c r="BE53" s="15"/>
      <c r="BF53" s="15"/>
      <c r="BG53" s="15"/>
    </row>
    <row r="54" spans="15:59" x14ac:dyDescent="0.25">
      <c r="P54" s="463"/>
      <c r="R54" s="463"/>
      <c r="V54" s="107"/>
      <c r="W54" s="107"/>
      <c r="X54" s="463"/>
      <c r="Y54" s="463"/>
      <c r="Z54" s="463"/>
      <c r="AA54" s="107"/>
      <c r="AB54" s="463"/>
      <c r="AC54" s="107"/>
      <c r="AD54" s="463"/>
      <c r="AE54" s="463"/>
      <c r="AF54" s="107"/>
      <c r="AG54" s="463"/>
      <c r="AH54" s="107"/>
      <c r="AI54" s="463"/>
      <c r="AJ54" s="463"/>
      <c r="AK54" s="107"/>
      <c r="AL54" s="107"/>
      <c r="AM54" s="107"/>
      <c r="AN54" s="107"/>
      <c r="AO54" s="107"/>
      <c r="AP54" s="107"/>
      <c r="AQ54" s="107"/>
      <c r="AR54" s="107"/>
      <c r="AS54" s="107"/>
      <c r="AU54" s="220"/>
      <c r="AW54" s="220"/>
      <c r="AX54" s="220"/>
      <c r="AY54" s="220"/>
      <c r="AZ54" s="220"/>
      <c r="BA54" s="220"/>
      <c r="BB54" s="15"/>
      <c r="BC54" s="15"/>
      <c r="BD54" s="15"/>
      <c r="BE54" s="15"/>
      <c r="BF54" s="15"/>
      <c r="BG54" s="15"/>
    </row>
    <row r="55" spans="15:59" x14ac:dyDescent="0.25">
      <c r="P55" s="463"/>
      <c r="R55" s="463"/>
      <c r="V55" s="107"/>
      <c r="W55" s="15"/>
      <c r="X55" s="463"/>
      <c r="Z55" s="463"/>
      <c r="AA55" s="463"/>
      <c r="AB55" s="463"/>
      <c r="AC55" s="463"/>
      <c r="AD55" s="463"/>
      <c r="AE55" s="463"/>
      <c r="AF55" s="463"/>
      <c r="AG55" s="463"/>
      <c r="AH55" s="463"/>
      <c r="AI55" s="463"/>
      <c r="AJ55" s="463"/>
      <c r="AK55" s="107"/>
      <c r="AL55" s="107"/>
      <c r="AM55" s="107"/>
      <c r="AN55" s="107"/>
      <c r="AO55" s="107"/>
      <c r="AP55" s="107"/>
      <c r="AQ55" s="107"/>
      <c r="AR55" s="107"/>
      <c r="AS55" s="107"/>
      <c r="BB55" s="15"/>
      <c r="BC55" s="15"/>
      <c r="BD55" s="15"/>
      <c r="BE55" s="15"/>
      <c r="BF55" s="15"/>
      <c r="BG55" s="15"/>
    </row>
    <row r="56" spans="15:59" x14ac:dyDescent="0.25">
      <c r="P56" s="463"/>
      <c r="R56" s="463"/>
      <c r="V56" s="107"/>
      <c r="W56" s="15"/>
      <c r="X56" s="107"/>
      <c r="Z56" s="463"/>
      <c r="AA56" s="107"/>
      <c r="AB56" s="463"/>
      <c r="AC56" s="107"/>
      <c r="AD56" s="463"/>
      <c r="AE56" s="463"/>
      <c r="AF56" s="107"/>
      <c r="AG56" s="463"/>
      <c r="AH56" s="107"/>
      <c r="AI56" s="463"/>
      <c r="AJ56" s="463"/>
      <c r="AK56" s="107"/>
      <c r="AM56" s="107"/>
      <c r="AO56" s="107"/>
      <c r="AP56" s="107"/>
      <c r="AQ56" s="107"/>
      <c r="AR56" s="107"/>
      <c r="AS56" s="107"/>
      <c r="AX56" s="208"/>
      <c r="BB56" s="15"/>
      <c r="BC56" s="15"/>
      <c r="BD56" s="15"/>
      <c r="BE56" s="15"/>
      <c r="BF56" s="15"/>
      <c r="BG56" s="15"/>
    </row>
    <row r="57" spans="15:59" x14ac:dyDescent="0.25">
      <c r="P57" s="463"/>
      <c r="R57" s="463"/>
      <c r="Z57" s="463"/>
      <c r="AA57" s="463"/>
      <c r="AB57" s="463"/>
      <c r="AC57" s="463"/>
      <c r="AD57" s="463"/>
      <c r="AE57" s="463"/>
      <c r="AF57" s="463"/>
      <c r="AG57" s="463"/>
      <c r="AH57" s="463"/>
      <c r="AI57" s="463"/>
      <c r="AJ57" s="463"/>
      <c r="AK57" s="107"/>
      <c r="AL57" s="107"/>
      <c r="AM57" s="107"/>
      <c r="AN57" s="107"/>
      <c r="AO57" s="107"/>
      <c r="AP57" s="107"/>
      <c r="AQ57" s="107"/>
      <c r="AR57" s="107"/>
      <c r="AS57" s="107"/>
      <c r="AU57" s="220"/>
      <c r="AV57" s="220"/>
      <c r="AW57" s="220"/>
      <c r="AX57" s="220"/>
      <c r="AY57" s="220"/>
      <c r="AZ57" s="220"/>
      <c r="BA57" s="220"/>
      <c r="BB57" s="15"/>
      <c r="BC57" s="15"/>
      <c r="BD57" s="15"/>
      <c r="BE57" s="15"/>
      <c r="BF57" s="15"/>
      <c r="BG57" s="15"/>
    </row>
    <row r="58" spans="15:59" x14ac:dyDescent="0.25">
      <c r="P58" s="463"/>
      <c r="R58" s="463"/>
      <c r="Z58" s="463"/>
      <c r="AA58" s="107"/>
      <c r="AB58" s="463"/>
      <c r="AC58" s="463"/>
      <c r="AD58" s="463"/>
      <c r="AE58" s="463"/>
      <c r="AF58" s="107"/>
      <c r="AG58" s="463"/>
      <c r="AH58" s="463"/>
      <c r="AI58" s="463"/>
      <c r="AJ58" s="463"/>
      <c r="AK58" s="107"/>
      <c r="AM58" s="107"/>
      <c r="AN58" s="107"/>
      <c r="AO58" s="107"/>
      <c r="AP58" s="107"/>
      <c r="AQ58" s="107"/>
      <c r="AR58" s="107"/>
      <c r="AS58" s="107"/>
      <c r="AU58" s="220"/>
      <c r="AW58" s="220"/>
      <c r="AX58" s="220"/>
      <c r="AY58" s="220"/>
      <c r="AZ58" s="220"/>
      <c r="BA58" s="220"/>
      <c r="BB58" s="15"/>
      <c r="BC58" s="15"/>
      <c r="BD58" s="15"/>
      <c r="BE58" s="15"/>
      <c r="BF58" s="15"/>
      <c r="BG58" s="15"/>
    </row>
    <row r="59" spans="15:59" x14ac:dyDescent="0.25">
      <c r="P59" s="463"/>
      <c r="R59" s="463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463"/>
      <c r="AK59" s="107"/>
      <c r="AL59" s="107"/>
      <c r="AM59" s="107"/>
      <c r="AN59" s="107"/>
      <c r="AO59" s="107"/>
      <c r="AP59" s="107"/>
      <c r="AQ59" s="107"/>
      <c r="AR59" s="107"/>
      <c r="AS59" s="107"/>
      <c r="AU59" s="220"/>
      <c r="AW59" s="220"/>
      <c r="AX59" s="220"/>
      <c r="AY59" s="220"/>
      <c r="AZ59" s="220"/>
      <c r="BA59" s="220"/>
      <c r="BB59" s="15"/>
      <c r="BC59" s="15"/>
      <c r="BD59" s="15"/>
      <c r="BE59" s="15"/>
      <c r="BF59" s="15"/>
      <c r="BG59" s="15"/>
    </row>
    <row r="60" spans="15:59" x14ac:dyDescent="0.25">
      <c r="P60" s="463"/>
      <c r="R60" s="463"/>
      <c r="V60" s="611"/>
      <c r="W60" s="585"/>
      <c r="X60" s="611"/>
      <c r="Y60" s="585"/>
      <c r="Z60" s="463"/>
      <c r="AA60" s="611"/>
      <c r="AB60" s="585"/>
      <c r="AC60" s="611"/>
      <c r="AD60" s="585"/>
      <c r="AE60" s="463"/>
      <c r="AF60" s="611"/>
      <c r="AG60" s="585"/>
      <c r="AH60" s="611"/>
      <c r="AI60" s="585"/>
      <c r="AJ60" s="463"/>
      <c r="AK60" s="611"/>
      <c r="AL60" s="585"/>
      <c r="AM60" s="611"/>
      <c r="AN60" s="585"/>
      <c r="AO60" s="107"/>
      <c r="AP60" s="611"/>
      <c r="AQ60" s="611"/>
      <c r="AR60" s="611"/>
      <c r="AS60" s="611"/>
      <c r="AU60" s="220"/>
      <c r="AW60" s="220"/>
      <c r="AX60" s="220"/>
      <c r="AY60" s="220"/>
      <c r="AZ60" s="220"/>
      <c r="BA60" s="220"/>
      <c r="BB60" s="15"/>
      <c r="BC60" s="15"/>
      <c r="BD60" s="15"/>
      <c r="BE60" s="15"/>
      <c r="BF60" s="15"/>
      <c r="BG60" s="15"/>
    </row>
    <row r="61" spans="15:59" x14ac:dyDescent="0.25">
      <c r="P61" s="463"/>
      <c r="R61" s="463"/>
      <c r="BB61" s="15"/>
      <c r="BC61" s="15"/>
      <c r="BD61" s="15"/>
      <c r="BE61" s="15"/>
      <c r="BF61" s="15"/>
      <c r="BG61" s="15"/>
    </row>
    <row r="62" spans="15:59" x14ac:dyDescent="0.25">
      <c r="P62" s="463"/>
      <c r="R62" s="463"/>
      <c r="U62" s="400"/>
      <c r="AA62" s="463"/>
      <c r="AF62" s="463"/>
      <c r="AK62" s="463"/>
      <c r="AP62" s="463"/>
      <c r="AU62" s="463"/>
      <c r="AV62" s="463"/>
      <c r="AW62" s="463"/>
      <c r="AX62" s="463"/>
      <c r="AY62" s="463"/>
      <c r="AZ62" s="463"/>
      <c r="BA62" s="463"/>
      <c r="BB62" s="15"/>
      <c r="BC62" s="15"/>
      <c r="BD62" s="15"/>
      <c r="BE62" s="15"/>
      <c r="BF62" s="15"/>
      <c r="BG62" s="15"/>
    </row>
    <row r="63" spans="15:59" x14ac:dyDescent="0.25">
      <c r="P63" s="463"/>
      <c r="R63" s="463"/>
      <c r="AA63" s="463"/>
      <c r="AF63" s="463"/>
      <c r="AK63" s="463"/>
      <c r="AO63" s="463"/>
      <c r="AP63" s="463"/>
      <c r="AQ63" s="463"/>
      <c r="AR63" s="463"/>
      <c r="AS63" s="463"/>
      <c r="AU63" s="389"/>
      <c r="AV63" s="389"/>
      <c r="AW63" s="389"/>
      <c r="AX63" s="389"/>
      <c r="AY63" s="463"/>
      <c r="AZ63" s="463"/>
      <c r="BA63" s="463"/>
      <c r="BB63" s="15"/>
      <c r="BC63" s="15"/>
      <c r="BD63" s="15"/>
      <c r="BE63" s="15"/>
      <c r="BF63" s="15"/>
      <c r="BG63" s="15"/>
    </row>
    <row r="64" spans="15:59" x14ac:dyDescent="0.25">
      <c r="P64" s="463"/>
      <c r="R64" s="463"/>
      <c r="W64" s="162"/>
      <c r="X64" s="463"/>
      <c r="Y64" s="162"/>
      <c r="Z64" s="463"/>
      <c r="AA64" s="463"/>
      <c r="AB64" s="162"/>
      <c r="AC64" s="463"/>
      <c r="AD64" s="162"/>
      <c r="AE64" s="463"/>
      <c r="AF64" s="463"/>
      <c r="AG64" s="162"/>
      <c r="AH64" s="463"/>
      <c r="AI64" s="162"/>
      <c r="AJ64" s="463"/>
      <c r="AK64" s="463"/>
      <c r="AL64" s="162"/>
      <c r="AM64" s="463"/>
      <c r="AN64" s="162"/>
      <c r="AO64" s="463"/>
      <c r="AP64" s="463"/>
      <c r="AQ64" s="162"/>
      <c r="AR64" s="463"/>
      <c r="AS64" s="162"/>
      <c r="AU64" s="463"/>
      <c r="AV64" s="463"/>
      <c r="AW64" s="389"/>
      <c r="AX64" s="397"/>
      <c r="AY64" s="463"/>
      <c r="AZ64" s="397"/>
      <c r="BA64" s="389"/>
      <c r="BB64" s="15"/>
      <c r="BC64" s="15"/>
      <c r="BD64" s="15"/>
      <c r="BE64" s="15"/>
      <c r="BF64" s="15"/>
      <c r="BG64" s="15"/>
    </row>
    <row r="65" spans="16:59" x14ac:dyDescent="0.25">
      <c r="P65" s="463"/>
      <c r="R65" s="463"/>
      <c r="Z65" s="463"/>
      <c r="AA65" s="463"/>
      <c r="AB65" s="463"/>
      <c r="AC65" s="463"/>
      <c r="AD65" s="463"/>
      <c r="AF65" s="463"/>
      <c r="AG65" s="463"/>
      <c r="AH65" s="463"/>
      <c r="AI65" s="463"/>
      <c r="AJ65" s="463"/>
      <c r="AK65" s="107"/>
      <c r="AL65" s="107"/>
      <c r="AM65" s="107"/>
      <c r="AN65" s="463"/>
      <c r="AO65" s="107"/>
      <c r="AP65" s="107"/>
      <c r="AQ65" s="107"/>
      <c r="AR65" s="107"/>
      <c r="AS65" s="107"/>
      <c r="AX65" s="208"/>
      <c r="BB65" s="15"/>
      <c r="BC65" s="15"/>
      <c r="BD65" s="15"/>
      <c r="BE65" s="15"/>
      <c r="BF65" s="15"/>
      <c r="BG65" s="15"/>
    </row>
    <row r="66" spans="16:59" x14ac:dyDescent="0.25">
      <c r="P66" s="463"/>
      <c r="R66" s="463"/>
      <c r="V66" s="107"/>
      <c r="W66" s="107"/>
      <c r="X66" s="107"/>
      <c r="Y66" s="107"/>
      <c r="Z66" s="463"/>
      <c r="AA66" s="107"/>
      <c r="AB66" s="463"/>
      <c r="AC66" s="107"/>
      <c r="AD66" s="463"/>
      <c r="AE66" s="463"/>
      <c r="AF66" s="107"/>
      <c r="AG66" s="463"/>
      <c r="AH66" s="107"/>
      <c r="AI66" s="463"/>
      <c r="AJ66" s="463"/>
      <c r="AK66" s="107"/>
      <c r="AL66" s="107"/>
      <c r="AM66" s="107"/>
      <c r="AN66" s="463"/>
      <c r="AO66" s="107"/>
      <c r="AP66" s="107"/>
      <c r="AQ66" s="107"/>
      <c r="AR66" s="107"/>
      <c r="AS66" s="107"/>
      <c r="AU66" s="220"/>
      <c r="AV66" s="220"/>
      <c r="AW66" s="220"/>
      <c r="AX66" s="220"/>
      <c r="AY66" s="220"/>
      <c r="AZ66" s="220"/>
      <c r="BA66" s="220"/>
      <c r="BB66" s="15"/>
      <c r="BC66" s="15"/>
      <c r="BD66" s="15"/>
      <c r="BE66" s="15"/>
      <c r="BF66" s="15"/>
      <c r="BG66" s="15"/>
    </row>
    <row r="67" spans="16:59" x14ac:dyDescent="0.25">
      <c r="P67" s="463"/>
      <c r="R67" s="463"/>
      <c r="Z67" s="463"/>
      <c r="AA67" s="463"/>
      <c r="AB67" s="463"/>
      <c r="AC67" s="463"/>
      <c r="AD67" s="463"/>
      <c r="AE67" s="463"/>
      <c r="AF67" s="463"/>
      <c r="AG67" s="463"/>
      <c r="AH67" s="463"/>
      <c r="AI67" s="463"/>
      <c r="AJ67" s="463"/>
      <c r="AK67" s="107"/>
      <c r="AL67" s="107"/>
      <c r="AM67" s="107"/>
      <c r="AN67" s="463"/>
      <c r="AO67" s="107"/>
      <c r="AP67" s="107"/>
      <c r="AQ67" s="107"/>
      <c r="AR67" s="107"/>
      <c r="AS67" s="107"/>
      <c r="AU67" s="220"/>
      <c r="AV67" s="220"/>
      <c r="AW67" s="220"/>
      <c r="AX67" s="220"/>
      <c r="AY67" s="220"/>
      <c r="AZ67" s="220"/>
      <c r="BA67" s="220"/>
      <c r="BB67" s="15"/>
      <c r="BC67" s="15"/>
      <c r="BD67" s="15"/>
      <c r="BE67" s="15"/>
      <c r="BF67" s="15"/>
      <c r="BG67" s="15"/>
    </row>
    <row r="68" spans="16:59" x14ac:dyDescent="0.25">
      <c r="P68" s="463"/>
      <c r="V68" s="107"/>
      <c r="W68" s="107"/>
      <c r="X68" s="220"/>
      <c r="Y68" s="220"/>
      <c r="Z68" s="463"/>
      <c r="AA68" s="107"/>
      <c r="AB68" s="463"/>
      <c r="AC68" s="107"/>
      <c r="AD68" s="463"/>
      <c r="AE68" s="463"/>
      <c r="AF68" s="107"/>
      <c r="AG68" s="463"/>
      <c r="AH68" s="107"/>
      <c r="AI68" s="463"/>
      <c r="AJ68" s="463"/>
      <c r="AK68" s="107"/>
      <c r="AL68" s="107"/>
      <c r="AM68" s="107"/>
      <c r="AN68" s="463"/>
      <c r="AO68" s="107"/>
      <c r="AP68" s="107"/>
      <c r="AQ68" s="107"/>
      <c r="AR68" s="107"/>
      <c r="AS68" s="107"/>
      <c r="AU68" s="220"/>
      <c r="AW68" s="220"/>
      <c r="AX68" s="220"/>
      <c r="AY68" s="220"/>
      <c r="AZ68" s="220"/>
      <c r="BA68" s="220"/>
      <c r="BB68" s="15"/>
      <c r="BC68" s="15"/>
      <c r="BD68" s="15"/>
      <c r="BE68" s="15"/>
      <c r="BF68" s="15"/>
      <c r="BG68" s="15"/>
    </row>
    <row r="69" spans="16:59" x14ac:dyDescent="0.25">
      <c r="V69" s="107"/>
      <c r="W69" s="107"/>
      <c r="X69" s="220"/>
      <c r="Y69" s="220"/>
      <c r="Z69" s="463"/>
      <c r="AA69" s="107"/>
      <c r="AB69" s="463"/>
      <c r="AC69" s="463"/>
      <c r="AD69" s="463"/>
      <c r="AE69" s="463"/>
      <c r="AF69" s="463"/>
      <c r="AG69" s="463"/>
      <c r="AH69" s="463"/>
      <c r="AI69" s="463"/>
      <c r="AJ69" s="463"/>
      <c r="AK69" s="107"/>
      <c r="AL69" s="107"/>
      <c r="AM69" s="107"/>
      <c r="AN69" s="463"/>
      <c r="AO69" s="107"/>
      <c r="AP69" s="107"/>
      <c r="AQ69" s="107"/>
      <c r="AR69" s="107"/>
      <c r="AS69" s="107"/>
      <c r="AU69" s="220"/>
      <c r="AW69" s="220"/>
      <c r="AX69" s="220"/>
      <c r="AY69" s="220"/>
      <c r="AZ69" s="220"/>
      <c r="BA69" s="220"/>
      <c r="BB69" s="15"/>
      <c r="BC69" s="15"/>
      <c r="BD69" s="15"/>
      <c r="BE69" s="15"/>
      <c r="BF69" s="15"/>
      <c r="BG69" s="15"/>
    </row>
    <row r="70" spans="16:59" x14ac:dyDescent="0.25">
      <c r="V70" s="107"/>
      <c r="W70" s="107"/>
      <c r="X70" s="220"/>
      <c r="Y70" s="220"/>
      <c r="Z70" s="463"/>
      <c r="AA70" s="107"/>
      <c r="AB70" s="463"/>
      <c r="AC70" s="463"/>
      <c r="AD70" s="463"/>
      <c r="AE70" s="463"/>
      <c r="AF70" s="463"/>
      <c r="AG70" s="463"/>
      <c r="AH70" s="463"/>
      <c r="AI70" s="463"/>
      <c r="AJ70" s="463"/>
      <c r="AK70" s="107"/>
      <c r="AL70" s="107"/>
      <c r="AM70" s="107"/>
      <c r="AN70" s="463"/>
      <c r="AO70" s="107"/>
      <c r="AP70" s="107"/>
      <c r="AQ70" s="107"/>
      <c r="AR70" s="107"/>
      <c r="AS70" s="107"/>
      <c r="AU70" s="220"/>
      <c r="AW70" s="220"/>
      <c r="AX70" s="220"/>
      <c r="AY70" s="220"/>
      <c r="AZ70" s="220"/>
      <c r="BA70" s="220"/>
      <c r="BB70" s="15"/>
      <c r="BC70" s="15"/>
      <c r="BD70" s="15"/>
      <c r="BE70" s="15"/>
      <c r="BF70" s="15"/>
      <c r="BG70" s="15"/>
    </row>
    <row r="71" spans="16:59" x14ac:dyDescent="0.25">
      <c r="V71" s="107"/>
      <c r="W71" s="107"/>
      <c r="X71" s="107"/>
      <c r="Y71" s="107"/>
      <c r="Z71" s="463"/>
      <c r="AA71" s="107"/>
      <c r="AB71" s="107"/>
      <c r="AC71" s="107"/>
      <c r="AD71" s="107"/>
      <c r="AF71" s="396"/>
      <c r="AG71" s="396"/>
      <c r="AH71" s="396"/>
      <c r="AI71" s="396"/>
      <c r="AJ71" s="463"/>
      <c r="AK71" s="107"/>
      <c r="AL71" s="107"/>
      <c r="AM71" s="107"/>
      <c r="AN71" s="107"/>
      <c r="AO71" s="107"/>
      <c r="AP71" s="107"/>
      <c r="AQ71" s="107"/>
      <c r="AR71" s="107"/>
      <c r="AS71" s="107"/>
      <c r="BB71" s="15"/>
      <c r="BC71" s="15"/>
      <c r="BD71" s="15"/>
      <c r="BE71" s="15"/>
      <c r="BF71" s="15"/>
      <c r="BG71" s="15"/>
    </row>
    <row r="72" spans="16:59" x14ac:dyDescent="0.25">
      <c r="V72" s="611"/>
      <c r="W72" s="585"/>
      <c r="X72" s="611"/>
      <c r="Y72" s="585"/>
      <c r="Z72" s="463"/>
      <c r="AA72" s="611"/>
      <c r="AB72" s="585"/>
      <c r="AC72" s="611"/>
      <c r="AD72" s="585"/>
      <c r="AE72" s="463"/>
      <c r="AF72" s="611"/>
      <c r="AG72" s="585"/>
      <c r="AH72" s="611"/>
      <c r="AI72" s="585"/>
      <c r="AJ72" s="463"/>
      <c r="AK72" s="611"/>
      <c r="AL72" s="611"/>
      <c r="AM72" s="611"/>
      <c r="AN72" s="611"/>
      <c r="AO72" s="107"/>
      <c r="AP72" s="611"/>
      <c r="AQ72" s="611"/>
      <c r="AR72" s="611"/>
      <c r="AS72" s="611"/>
      <c r="AX72" s="208"/>
      <c r="BB72" s="15"/>
      <c r="BC72" s="15"/>
      <c r="BD72" s="15"/>
      <c r="BE72" s="15"/>
      <c r="BF72" s="15"/>
      <c r="BG72" s="15"/>
    </row>
    <row r="73" spans="16:59" x14ac:dyDescent="0.25">
      <c r="AU73" s="220"/>
      <c r="AV73" s="220"/>
      <c r="AW73" s="220"/>
      <c r="AX73" s="220"/>
      <c r="AY73" s="220"/>
      <c r="AZ73" s="220"/>
      <c r="BA73" s="220"/>
      <c r="BB73" s="15"/>
      <c r="BC73" s="15"/>
      <c r="BD73" s="15"/>
      <c r="BE73" s="15"/>
      <c r="BF73" s="15"/>
      <c r="BG73" s="15"/>
    </row>
    <row r="74" spans="16:59" x14ac:dyDescent="0.25">
      <c r="U74" s="400"/>
      <c r="AA74" s="463"/>
      <c r="AF74" s="463"/>
      <c r="AK74" s="463"/>
      <c r="AP74" s="463"/>
      <c r="AU74" s="220"/>
      <c r="AV74" s="220"/>
      <c r="AW74" s="220"/>
      <c r="AX74" s="220"/>
      <c r="AY74" s="220"/>
      <c r="AZ74" s="220"/>
      <c r="BA74" s="220"/>
      <c r="BB74" s="15"/>
      <c r="BC74" s="15"/>
      <c r="BD74" s="15"/>
      <c r="BE74" s="15"/>
      <c r="BF74" s="15"/>
      <c r="BG74" s="15"/>
    </row>
    <row r="75" spans="16:59" x14ac:dyDescent="0.25">
      <c r="AA75" s="463"/>
      <c r="AF75" s="463"/>
      <c r="AK75" s="463"/>
      <c r="AO75" s="463"/>
      <c r="AP75" s="463"/>
      <c r="AQ75" s="463"/>
      <c r="AR75" s="463"/>
      <c r="AS75" s="463"/>
      <c r="AU75" s="220"/>
      <c r="AW75" s="220"/>
      <c r="AX75" s="220"/>
      <c r="AY75" s="220"/>
      <c r="AZ75" s="220"/>
      <c r="BA75" s="220"/>
      <c r="BB75" s="15"/>
      <c r="BC75" s="15"/>
      <c r="BD75" s="15"/>
      <c r="BE75" s="15"/>
      <c r="BF75" s="15"/>
      <c r="BG75" s="15"/>
    </row>
    <row r="76" spans="16:59" x14ac:dyDescent="0.25">
      <c r="W76" s="162"/>
      <c r="X76" s="463"/>
      <c r="Y76" s="162"/>
      <c r="Z76" s="463"/>
      <c r="AA76" s="463"/>
      <c r="AB76" s="162"/>
      <c r="AC76" s="463"/>
      <c r="AD76" s="162"/>
      <c r="AE76" s="463"/>
      <c r="AF76" s="463"/>
      <c r="AG76" s="162"/>
      <c r="AH76" s="463"/>
      <c r="AI76" s="162"/>
      <c r="AJ76" s="463"/>
      <c r="AK76" s="463"/>
      <c r="AL76" s="162"/>
      <c r="AM76" s="463"/>
      <c r="AN76" s="162"/>
      <c r="AO76" s="463"/>
      <c r="AP76" s="463"/>
      <c r="AQ76" s="162"/>
      <c r="AR76" s="463"/>
      <c r="AS76" s="162"/>
      <c r="AU76" s="220"/>
      <c r="AW76" s="220"/>
      <c r="AX76" s="220"/>
      <c r="AY76" s="220"/>
      <c r="AZ76" s="220"/>
      <c r="BA76" s="220"/>
      <c r="BB76" s="15"/>
      <c r="BC76" s="15"/>
      <c r="BD76" s="15"/>
      <c r="BE76" s="15"/>
      <c r="BF76" s="15"/>
      <c r="BG76" s="15"/>
    </row>
    <row r="77" spans="16:59" x14ac:dyDescent="0.25">
      <c r="Z77" s="463"/>
      <c r="AA77" s="463"/>
      <c r="AB77" s="463"/>
      <c r="AC77" s="463"/>
      <c r="AD77" s="463"/>
      <c r="AF77" s="463"/>
      <c r="AG77" s="463"/>
      <c r="AH77" s="463"/>
      <c r="AI77" s="463"/>
      <c r="AJ77" s="463"/>
      <c r="AK77" s="107"/>
      <c r="AL77" s="107"/>
      <c r="AM77" s="107"/>
      <c r="AN77" s="463"/>
      <c r="AO77" s="107"/>
      <c r="AP77" s="107"/>
      <c r="AQ77" s="107"/>
      <c r="AR77" s="107"/>
      <c r="AS77" s="107"/>
      <c r="AU77" s="220"/>
      <c r="AW77" s="220"/>
      <c r="AX77" s="220"/>
      <c r="AY77" s="220"/>
      <c r="AZ77" s="220"/>
      <c r="BA77" s="220"/>
      <c r="BB77" s="15"/>
      <c r="BC77" s="15"/>
      <c r="BD77" s="15"/>
      <c r="BE77" s="15"/>
      <c r="BF77" s="15"/>
      <c r="BG77" s="15"/>
    </row>
    <row r="78" spans="16:59" x14ac:dyDescent="0.25">
      <c r="V78" s="107"/>
      <c r="W78" s="107"/>
      <c r="X78" s="107"/>
      <c r="Y78" s="107"/>
      <c r="Z78" s="463"/>
      <c r="AA78" s="107"/>
      <c r="AB78" s="463"/>
      <c r="AC78" s="107"/>
      <c r="AD78" s="463"/>
      <c r="AE78" s="463"/>
      <c r="AF78" s="107"/>
      <c r="AG78" s="463"/>
      <c r="AH78" s="107"/>
      <c r="AI78" s="463"/>
      <c r="AJ78" s="463"/>
      <c r="AK78" s="107"/>
      <c r="AL78" s="107"/>
      <c r="AM78" s="107"/>
      <c r="AN78" s="463"/>
      <c r="AO78" s="107"/>
      <c r="AP78" s="107"/>
      <c r="AQ78" s="107"/>
      <c r="AR78" s="107"/>
      <c r="AS78" s="107"/>
      <c r="BB78" s="15"/>
      <c r="BC78" s="15"/>
      <c r="BD78" s="15"/>
      <c r="BE78" s="15"/>
      <c r="BF78" s="15"/>
      <c r="BG78" s="15"/>
    </row>
    <row r="79" spans="16:59" x14ac:dyDescent="0.25">
      <c r="Z79" s="463"/>
      <c r="AA79" s="463"/>
      <c r="AB79" s="463"/>
      <c r="AC79" s="463"/>
      <c r="AD79" s="463"/>
      <c r="AE79" s="463"/>
      <c r="AF79" s="463"/>
      <c r="AG79" s="463"/>
      <c r="AH79" s="463"/>
      <c r="AI79" s="463"/>
      <c r="AJ79" s="463"/>
      <c r="AK79" s="107"/>
      <c r="AL79" s="107"/>
      <c r="AM79" s="107"/>
      <c r="AN79" s="463"/>
      <c r="AO79" s="107"/>
      <c r="AP79" s="107"/>
      <c r="AQ79" s="107"/>
      <c r="AR79" s="107"/>
      <c r="AS79" s="107"/>
      <c r="AX79" s="208"/>
      <c r="BB79" s="15"/>
      <c r="BC79" s="15"/>
      <c r="BD79" s="15"/>
      <c r="BE79" s="15"/>
      <c r="BF79" s="15"/>
      <c r="BG79" s="15"/>
    </row>
    <row r="80" spans="16:59" x14ac:dyDescent="0.25">
      <c r="V80" s="107"/>
      <c r="W80" s="107"/>
      <c r="X80" s="220"/>
      <c r="Y80" s="220"/>
      <c r="AA80" s="107"/>
      <c r="AB80" s="463"/>
      <c r="AC80" s="107"/>
      <c r="AD80" s="463"/>
      <c r="AF80" s="107"/>
      <c r="AG80" s="463"/>
      <c r="AH80" s="107"/>
      <c r="AI80" s="463"/>
      <c r="AJ80" s="463"/>
      <c r="AK80" s="107"/>
      <c r="AL80" s="107"/>
      <c r="AM80" s="107"/>
      <c r="AN80" s="463"/>
      <c r="AO80" s="107"/>
      <c r="AP80" s="107"/>
      <c r="AQ80" s="107"/>
      <c r="AR80" s="107"/>
      <c r="AS80" s="107"/>
      <c r="AU80" s="220"/>
      <c r="AV80" s="220"/>
      <c r="AW80" s="220"/>
      <c r="AX80" s="220"/>
      <c r="AY80" s="220"/>
      <c r="AZ80" s="220"/>
      <c r="BA80" s="220"/>
      <c r="BB80" s="15"/>
      <c r="BC80" s="15"/>
      <c r="BD80" s="15"/>
      <c r="BE80" s="15"/>
      <c r="BF80" s="15"/>
      <c r="BG80" s="15"/>
    </row>
    <row r="81" spans="20:59" x14ac:dyDescent="0.25">
      <c r="V81" s="107"/>
      <c r="W81" s="107"/>
      <c r="X81" s="107"/>
      <c r="Y81" s="220"/>
      <c r="Z81" s="463"/>
      <c r="AA81" s="107"/>
      <c r="AB81" s="463"/>
      <c r="AC81" s="107"/>
      <c r="AD81" s="463"/>
      <c r="AE81" s="463"/>
      <c r="AF81" s="107"/>
      <c r="AG81" s="463"/>
      <c r="AH81" s="107"/>
      <c r="AI81" s="463"/>
      <c r="AJ81" s="463"/>
      <c r="AK81" s="107"/>
      <c r="AL81" s="463"/>
      <c r="AM81" s="107"/>
      <c r="AN81" s="463"/>
      <c r="AO81" s="463"/>
      <c r="AP81" s="107"/>
      <c r="AQ81" s="463"/>
      <c r="AR81" s="107"/>
      <c r="AS81" s="107"/>
      <c r="AU81" s="220"/>
      <c r="AV81" s="220"/>
      <c r="AW81" s="220"/>
      <c r="AX81" s="220"/>
      <c r="AY81" s="220"/>
      <c r="AZ81" s="220"/>
      <c r="BA81" s="220"/>
      <c r="BB81" s="15"/>
      <c r="BC81" s="15"/>
      <c r="BD81" s="15"/>
      <c r="BE81" s="15"/>
      <c r="BF81" s="15"/>
      <c r="BG81" s="15"/>
    </row>
    <row r="82" spans="20:59" x14ac:dyDescent="0.25">
      <c r="V82" s="107"/>
      <c r="W82" s="107"/>
      <c r="X82" s="220"/>
      <c r="Y82" s="220"/>
      <c r="Z82" s="463"/>
      <c r="AA82" s="107"/>
      <c r="AB82" s="463"/>
      <c r="AC82" s="463"/>
      <c r="AD82" s="463"/>
      <c r="AE82" s="463"/>
      <c r="AF82" s="463"/>
      <c r="AG82" s="463"/>
      <c r="AH82" s="463"/>
      <c r="AI82" s="463"/>
      <c r="AJ82" s="463"/>
      <c r="AK82" s="107"/>
      <c r="AL82" s="107"/>
      <c r="AM82" s="107"/>
      <c r="AN82" s="463"/>
      <c r="AO82" s="107"/>
      <c r="AP82" s="107"/>
      <c r="AQ82" s="107"/>
      <c r="AR82" s="107"/>
      <c r="AS82" s="107"/>
      <c r="AU82" s="220"/>
      <c r="AW82" s="220"/>
      <c r="AX82" s="220"/>
      <c r="AY82" s="220"/>
      <c r="AZ82" s="220"/>
      <c r="BA82" s="220"/>
      <c r="BB82" s="15"/>
      <c r="BC82" s="15"/>
      <c r="BD82" s="15"/>
      <c r="BE82" s="15"/>
      <c r="BF82" s="15"/>
      <c r="BG82" s="15"/>
    </row>
    <row r="83" spans="20:59" x14ac:dyDescent="0.25">
      <c r="V83" s="107"/>
      <c r="W83" s="107"/>
      <c r="X83" s="107"/>
      <c r="Y83" s="107"/>
      <c r="Z83" s="463"/>
      <c r="AA83" s="107"/>
      <c r="AB83" s="107"/>
      <c r="AC83" s="107"/>
      <c r="AD83" s="107"/>
      <c r="AF83" s="396"/>
      <c r="AG83" s="396"/>
      <c r="AH83" s="396"/>
      <c r="AI83" s="396"/>
      <c r="AJ83" s="463"/>
      <c r="AK83" s="107"/>
      <c r="AL83" s="107"/>
      <c r="AM83" s="107"/>
      <c r="AN83" s="107"/>
      <c r="AO83" s="107"/>
      <c r="AP83" s="107"/>
      <c r="AQ83" s="107"/>
      <c r="AR83" s="107"/>
      <c r="AS83" s="107"/>
      <c r="AU83" s="220"/>
      <c r="AW83" s="220"/>
      <c r="AX83" s="220"/>
      <c r="AY83" s="220"/>
      <c r="AZ83" s="220"/>
      <c r="BA83" s="220"/>
      <c r="BB83" s="15"/>
      <c r="BC83" s="15"/>
      <c r="BD83" s="15"/>
      <c r="BE83" s="15"/>
      <c r="BF83" s="15"/>
      <c r="BG83" s="15"/>
    </row>
    <row r="84" spans="20:59" x14ac:dyDescent="0.25">
      <c r="V84" s="611"/>
      <c r="W84" s="585"/>
      <c r="X84" s="611"/>
      <c r="Y84" s="585"/>
      <c r="Z84" s="463"/>
      <c r="AA84" s="611"/>
      <c r="AB84" s="585"/>
      <c r="AC84" s="611"/>
      <c r="AD84" s="585"/>
      <c r="AE84" s="463"/>
      <c r="AF84" s="611"/>
      <c r="AG84" s="585"/>
      <c r="AH84" s="611"/>
      <c r="AI84" s="585"/>
      <c r="AJ84" s="463"/>
      <c r="AK84" s="611"/>
      <c r="AL84" s="611"/>
      <c r="AM84" s="611"/>
      <c r="AN84" s="611"/>
      <c r="AO84" s="107"/>
      <c r="AP84" s="611"/>
      <c r="AQ84" s="611"/>
      <c r="AR84" s="611"/>
      <c r="AS84" s="611"/>
      <c r="AU84" s="220"/>
      <c r="AW84" s="220"/>
      <c r="AX84" s="220"/>
      <c r="AY84" s="220"/>
      <c r="AZ84" s="220"/>
      <c r="BA84" s="220"/>
      <c r="BB84" s="15"/>
      <c r="BC84" s="15"/>
      <c r="BD84" s="15"/>
      <c r="BE84" s="15"/>
      <c r="BF84" s="15"/>
      <c r="BG84" s="15"/>
    </row>
    <row r="85" spans="20:59" x14ac:dyDescent="0.25">
      <c r="BB85" s="15"/>
      <c r="BC85" s="15"/>
      <c r="BD85" s="15"/>
      <c r="BE85" s="15"/>
      <c r="BF85" s="15"/>
      <c r="BG85" s="15"/>
    </row>
    <row r="86" spans="20:59" x14ac:dyDescent="0.25">
      <c r="U86" s="400"/>
      <c r="X86" s="339"/>
      <c r="Y86" s="339"/>
      <c r="Z86" s="389"/>
      <c r="AA86" s="389"/>
      <c r="AB86" s="389"/>
      <c r="AC86" s="389"/>
      <c r="AD86" s="389"/>
      <c r="AE86" s="389"/>
      <c r="AF86" s="389"/>
      <c r="AG86" s="463"/>
      <c r="AH86" s="463"/>
      <c r="AI86" s="463"/>
      <c r="AP86" s="339"/>
      <c r="AQ86" s="339"/>
      <c r="AR86" s="389"/>
      <c r="AS86" s="389"/>
      <c r="AT86" s="389"/>
      <c r="AU86" s="463"/>
      <c r="AV86" s="463"/>
      <c r="AW86" s="463"/>
      <c r="AX86" s="463"/>
      <c r="AY86" s="463"/>
      <c r="AZ86" s="463"/>
      <c r="BA86" s="463"/>
      <c r="BB86" s="15"/>
      <c r="BC86" s="15"/>
      <c r="BD86" s="15"/>
      <c r="BE86" s="15"/>
      <c r="BF86" s="15"/>
      <c r="BG86" s="15"/>
    </row>
    <row r="87" spans="20:59" x14ac:dyDescent="0.25">
      <c r="X87" s="208"/>
      <c r="Y87" s="463"/>
      <c r="Z87" s="463"/>
      <c r="AA87" s="389"/>
      <c r="AB87" s="399"/>
      <c r="AC87" s="463"/>
      <c r="AD87" s="463"/>
      <c r="AE87" s="401"/>
      <c r="AF87" s="397"/>
      <c r="AG87" s="463"/>
      <c r="AH87" s="397"/>
      <c r="AI87" s="401"/>
      <c r="AM87" s="463"/>
      <c r="AN87" s="463"/>
      <c r="AO87" s="463"/>
      <c r="AP87" s="208"/>
      <c r="AQ87" s="463"/>
      <c r="AR87" s="463"/>
      <c r="AS87" s="389"/>
      <c r="AT87" s="399"/>
      <c r="AU87" s="389"/>
      <c r="AV87" s="389"/>
      <c r="AW87" s="389"/>
      <c r="AX87" s="389"/>
      <c r="AY87" s="463"/>
      <c r="AZ87" s="463"/>
      <c r="BA87" s="463"/>
      <c r="BB87" s="15"/>
      <c r="BC87" s="15"/>
      <c r="BD87" s="15"/>
      <c r="BE87" s="15"/>
      <c r="BF87" s="15"/>
      <c r="BG87" s="15"/>
    </row>
    <row r="88" spans="20:59" x14ac:dyDescent="0.25">
      <c r="AA88" s="398"/>
      <c r="AB88" s="398"/>
      <c r="AF88" s="208"/>
      <c r="AL88" s="400"/>
      <c r="AS88" s="398"/>
      <c r="AT88" s="398"/>
      <c r="AU88" s="463"/>
      <c r="AV88" s="463"/>
      <c r="AW88" s="389"/>
      <c r="AX88" s="397"/>
      <c r="AY88" s="463"/>
      <c r="AZ88" s="397"/>
      <c r="BA88" s="389"/>
      <c r="BB88" s="15"/>
      <c r="BC88" s="15"/>
      <c r="BD88" s="15"/>
      <c r="BE88" s="15"/>
      <c r="BF88" s="15"/>
      <c r="BG88" s="15"/>
    </row>
    <row r="89" spans="20:59" x14ac:dyDescent="0.25">
      <c r="V89" s="107"/>
      <c r="W89" s="107"/>
      <c r="Y89" s="220"/>
      <c r="Z89" s="220"/>
      <c r="AA89" s="220"/>
      <c r="AB89" s="220"/>
      <c r="AC89" s="220"/>
      <c r="AD89" s="220"/>
      <c r="AE89" s="220"/>
      <c r="AF89" s="220"/>
      <c r="AG89" s="220"/>
      <c r="AH89" s="220"/>
      <c r="AI89" s="220"/>
      <c r="AL89" s="463"/>
      <c r="AM89" s="107"/>
      <c r="AN89" s="107"/>
      <c r="AO89" s="107"/>
      <c r="AQ89" s="220"/>
      <c r="AR89" s="220"/>
      <c r="AS89" s="220"/>
      <c r="AT89" s="220"/>
      <c r="AX89" s="208"/>
      <c r="BB89" s="15"/>
      <c r="BC89" s="15"/>
      <c r="BD89" s="15"/>
      <c r="BE89" s="15"/>
      <c r="BF89" s="15"/>
      <c r="BG89" s="15"/>
    </row>
    <row r="90" spans="20:59" x14ac:dyDescent="0.25">
      <c r="V90" s="107"/>
      <c r="W90" s="107"/>
      <c r="Y90" s="220"/>
      <c r="Z90" s="220"/>
      <c r="AA90" s="220"/>
      <c r="AB90" s="220"/>
      <c r="AC90" s="220"/>
      <c r="AE90" s="220"/>
      <c r="AF90" s="220"/>
      <c r="AG90" s="220"/>
      <c r="AH90" s="220"/>
      <c r="AI90" s="220"/>
      <c r="AL90" s="463"/>
      <c r="AM90" s="107"/>
      <c r="AN90" s="107"/>
      <c r="AO90" s="107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15"/>
      <c r="BC90" s="15"/>
      <c r="BD90" s="15"/>
      <c r="BE90" s="15"/>
      <c r="BF90" s="15"/>
      <c r="BG90" s="15"/>
    </row>
    <row r="91" spans="20:59" x14ac:dyDescent="0.25">
      <c r="V91" s="107"/>
      <c r="W91" s="107"/>
      <c r="Y91" s="220"/>
      <c r="Z91" s="220"/>
      <c r="AC91" s="220"/>
      <c r="AE91" s="220"/>
      <c r="AF91" s="220"/>
      <c r="AG91" s="220"/>
      <c r="AH91" s="220"/>
      <c r="AI91" s="220"/>
      <c r="AL91" s="463"/>
      <c r="AM91" s="107"/>
      <c r="AN91" s="107"/>
      <c r="AO91" s="107"/>
      <c r="AQ91" s="220"/>
      <c r="AR91" s="220"/>
      <c r="AU91" s="220"/>
      <c r="AW91" s="220"/>
      <c r="AX91" s="220"/>
      <c r="AY91" s="220"/>
      <c r="AZ91" s="220"/>
      <c r="BA91" s="220"/>
      <c r="BB91" s="15"/>
      <c r="BC91" s="15"/>
      <c r="BD91" s="15"/>
      <c r="BE91" s="15"/>
      <c r="BF91" s="15"/>
      <c r="BG91" s="15"/>
    </row>
    <row r="92" spans="20:59" x14ac:dyDescent="0.25">
      <c r="V92" s="107"/>
      <c r="W92" s="107"/>
      <c r="Y92" s="220"/>
      <c r="Z92" s="220"/>
      <c r="AC92" s="220"/>
      <c r="AE92" s="220"/>
      <c r="AF92" s="220"/>
      <c r="AG92" s="220"/>
      <c r="AH92" s="220"/>
      <c r="AI92" s="220"/>
      <c r="AL92" s="463"/>
      <c r="AM92" s="107"/>
      <c r="AN92" s="107"/>
      <c r="AO92" s="107"/>
      <c r="AQ92" s="220"/>
      <c r="AR92" s="220"/>
      <c r="AU92" s="220"/>
      <c r="AW92" s="220"/>
      <c r="AX92" s="220"/>
      <c r="AY92" s="220"/>
      <c r="AZ92" s="220"/>
      <c r="BA92" s="220"/>
      <c r="BB92" s="15"/>
      <c r="BC92" s="15"/>
      <c r="BD92" s="15"/>
      <c r="BE92" s="15"/>
      <c r="BF92" s="15"/>
      <c r="BG92" s="15"/>
    </row>
    <row r="93" spans="20:59" x14ac:dyDescent="0.25">
      <c r="V93" s="107"/>
      <c r="W93" s="107"/>
      <c r="AU93" s="220"/>
      <c r="AW93" s="220"/>
      <c r="AX93" s="220"/>
      <c r="AY93" s="220"/>
      <c r="AZ93" s="220"/>
      <c r="BA93" s="220"/>
      <c r="BB93" s="15"/>
      <c r="BC93" s="15"/>
      <c r="BD93" s="15"/>
      <c r="BE93" s="15"/>
      <c r="BF93" s="15"/>
      <c r="BG93" s="15"/>
    </row>
    <row r="94" spans="20:59" x14ac:dyDescent="0.25">
      <c r="AA94" s="398"/>
      <c r="AB94" s="398"/>
      <c r="AF94" s="208"/>
      <c r="AL94" s="400"/>
      <c r="AS94" s="398"/>
      <c r="AT94" s="398"/>
      <c r="BB94" s="15"/>
      <c r="BC94" s="15"/>
      <c r="BD94" s="15"/>
      <c r="BE94" s="15"/>
      <c r="BF94" s="15"/>
      <c r="BG94" s="15"/>
    </row>
    <row r="95" spans="20:59" x14ac:dyDescent="0.25">
      <c r="V95" s="107"/>
      <c r="W95" s="107"/>
      <c r="Y95" s="220"/>
      <c r="Z95" s="220"/>
      <c r="AA95" s="220"/>
      <c r="AB95" s="220"/>
      <c r="AC95" s="220"/>
      <c r="AD95" s="220"/>
      <c r="AE95" s="220"/>
      <c r="AF95" s="220"/>
      <c r="AG95" s="220"/>
      <c r="AH95" s="220"/>
      <c r="AI95" s="220"/>
      <c r="AL95" s="463"/>
      <c r="AM95" s="107"/>
      <c r="AN95" s="107"/>
      <c r="AO95" s="107"/>
      <c r="AQ95" s="220"/>
      <c r="AR95" s="220"/>
      <c r="AS95" s="220"/>
      <c r="AT95" s="220"/>
      <c r="AX95" s="208"/>
      <c r="BB95" s="15"/>
      <c r="BC95" s="15"/>
      <c r="BD95" s="15"/>
      <c r="BE95" s="15"/>
      <c r="BF95" s="15"/>
      <c r="BG95" s="15"/>
    </row>
    <row r="96" spans="20:59" x14ac:dyDescent="0.25">
      <c r="T96" s="463"/>
      <c r="U96" s="107"/>
      <c r="V96" s="107"/>
      <c r="W96" s="107"/>
      <c r="Y96" s="220"/>
      <c r="Z96" s="220"/>
      <c r="AA96" s="220"/>
      <c r="AB96" s="220"/>
      <c r="AC96" s="220"/>
      <c r="AE96" s="220"/>
      <c r="AF96" s="220"/>
      <c r="AG96" s="220"/>
      <c r="AH96" s="220"/>
      <c r="AI96" s="220"/>
      <c r="AL96" s="463"/>
      <c r="AM96" s="107"/>
      <c r="AN96" s="107"/>
      <c r="AO96" s="107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15"/>
      <c r="BC96" s="15"/>
      <c r="BD96" s="15"/>
      <c r="BE96" s="15"/>
      <c r="BF96" s="15"/>
      <c r="BG96" s="15"/>
    </row>
    <row r="97" spans="20:59" x14ac:dyDescent="0.25">
      <c r="T97" s="463"/>
      <c r="U97" s="107"/>
      <c r="V97" s="107"/>
      <c r="W97" s="107"/>
      <c r="Y97" s="220"/>
      <c r="Z97" s="220"/>
      <c r="AC97" s="220"/>
      <c r="AE97" s="220"/>
      <c r="AF97" s="220"/>
      <c r="AG97" s="220"/>
      <c r="AH97" s="220"/>
      <c r="AI97" s="220"/>
      <c r="AL97" s="463"/>
      <c r="AM97" s="107"/>
      <c r="AN97" s="107"/>
      <c r="AO97" s="107"/>
      <c r="AQ97" s="220"/>
      <c r="AR97" s="220"/>
      <c r="AU97" s="220"/>
      <c r="AV97" s="220"/>
      <c r="AW97" s="220"/>
      <c r="AX97" s="220"/>
      <c r="AY97" s="220"/>
      <c r="AZ97" s="220"/>
      <c r="BA97" s="220"/>
      <c r="BB97" s="15"/>
      <c r="BC97" s="15"/>
      <c r="BD97" s="15"/>
      <c r="BE97" s="15"/>
      <c r="BF97" s="15"/>
      <c r="BG97" s="15"/>
    </row>
    <row r="98" spans="20:59" x14ac:dyDescent="0.25">
      <c r="T98" s="463"/>
      <c r="U98" s="107"/>
      <c r="V98" s="107"/>
      <c r="W98" s="107"/>
      <c r="Y98" s="220"/>
      <c r="Z98" s="220"/>
      <c r="AC98" s="220"/>
      <c r="AE98" s="220"/>
      <c r="AF98" s="220"/>
      <c r="AG98" s="220"/>
      <c r="AH98" s="220"/>
      <c r="AI98" s="220"/>
      <c r="AL98" s="463"/>
      <c r="AM98" s="107"/>
      <c r="AN98" s="107"/>
      <c r="AO98" s="107"/>
      <c r="AQ98" s="220"/>
      <c r="AR98" s="220"/>
      <c r="AU98" s="220"/>
      <c r="AW98" s="220"/>
      <c r="AX98" s="220"/>
      <c r="AY98" s="220"/>
      <c r="AZ98" s="220"/>
      <c r="BA98" s="220"/>
      <c r="BB98" s="15"/>
      <c r="BC98" s="15"/>
      <c r="BD98" s="15"/>
      <c r="BE98" s="15"/>
      <c r="BF98" s="15"/>
      <c r="BG98" s="15"/>
    </row>
    <row r="99" spans="20:59" x14ac:dyDescent="0.25">
      <c r="U99" s="107"/>
      <c r="V99" s="107"/>
      <c r="W99" s="107"/>
      <c r="AU99" s="220"/>
      <c r="AW99" s="220"/>
      <c r="AX99" s="220"/>
      <c r="AY99" s="220"/>
      <c r="AZ99" s="220"/>
      <c r="BA99" s="220"/>
      <c r="BB99" s="15"/>
      <c r="BC99" s="15"/>
      <c r="BD99" s="15"/>
      <c r="BE99" s="15"/>
      <c r="BF99" s="15"/>
      <c r="BG99" s="15"/>
    </row>
    <row r="100" spans="20:59" x14ac:dyDescent="0.25">
      <c r="T100" s="400"/>
      <c r="AA100" s="398"/>
      <c r="AB100" s="398"/>
      <c r="AF100" s="208"/>
      <c r="AL100" s="400"/>
      <c r="AS100" s="398"/>
      <c r="AT100" s="398"/>
      <c r="AU100" s="220"/>
      <c r="AW100" s="220"/>
      <c r="AX100" s="220"/>
      <c r="AY100" s="220"/>
      <c r="AZ100" s="220"/>
      <c r="BA100" s="220"/>
      <c r="BB100" s="15"/>
      <c r="BC100" s="15"/>
      <c r="BD100" s="15"/>
      <c r="BE100" s="15"/>
      <c r="BF100" s="15"/>
      <c r="BG100" s="15"/>
    </row>
    <row r="101" spans="20:59" x14ac:dyDescent="0.25">
      <c r="T101" s="463"/>
      <c r="U101" s="107"/>
      <c r="V101" s="107"/>
      <c r="W101" s="107"/>
      <c r="Y101" s="220"/>
      <c r="Z101" s="220"/>
      <c r="AA101" s="220"/>
      <c r="AB101" s="220"/>
      <c r="AC101" s="220"/>
      <c r="AE101" s="220"/>
      <c r="AF101" s="220"/>
      <c r="AG101" s="220"/>
      <c r="AH101" s="220"/>
      <c r="AI101" s="220"/>
      <c r="AL101" s="463"/>
      <c r="AM101" s="107"/>
      <c r="AN101" s="107"/>
      <c r="AO101" s="107"/>
      <c r="AQ101" s="220"/>
      <c r="AR101" s="220"/>
      <c r="AS101" s="220"/>
      <c r="AT101" s="220"/>
      <c r="BB101" s="15"/>
      <c r="BC101" s="15"/>
      <c r="BD101" s="15"/>
      <c r="BE101" s="15"/>
      <c r="BF101" s="15"/>
      <c r="BG101" s="15"/>
    </row>
    <row r="102" spans="20:59" x14ac:dyDescent="0.25">
      <c r="T102" s="463"/>
      <c r="Y102" s="220"/>
      <c r="Z102" s="220"/>
      <c r="AC102" s="220"/>
      <c r="AE102" s="220"/>
      <c r="AG102" s="220"/>
      <c r="AH102" s="220"/>
      <c r="AI102" s="220"/>
      <c r="AL102" s="463"/>
      <c r="AM102" s="107"/>
      <c r="AN102" s="107"/>
      <c r="AO102" s="107"/>
      <c r="AQ102" s="220"/>
      <c r="AR102" s="220"/>
      <c r="AS102" s="220"/>
      <c r="AT102" s="220"/>
      <c r="AX102" s="208"/>
      <c r="BB102" s="15"/>
      <c r="BC102" s="15"/>
      <c r="BD102" s="15"/>
      <c r="BE102" s="15"/>
      <c r="BF102" s="15"/>
      <c r="BG102" s="15"/>
    </row>
    <row r="103" spans="20:59" x14ac:dyDescent="0.25">
      <c r="T103" s="463"/>
      <c r="U103" s="107"/>
      <c r="V103" s="107"/>
      <c r="W103" s="107"/>
      <c r="Y103" s="220"/>
      <c r="Z103" s="220"/>
      <c r="AC103" s="220"/>
      <c r="AE103" s="220"/>
      <c r="AF103" s="220"/>
      <c r="AG103" s="220"/>
      <c r="AH103" s="220"/>
      <c r="AI103" s="220"/>
      <c r="AL103" s="463"/>
      <c r="AM103" s="107"/>
      <c r="AN103" s="107"/>
      <c r="AO103" s="107"/>
      <c r="AQ103" s="220"/>
      <c r="AR103" s="220"/>
      <c r="AU103" s="220"/>
      <c r="AW103" s="220"/>
      <c r="AX103" s="220"/>
      <c r="AY103" s="220"/>
      <c r="AZ103" s="220"/>
      <c r="BA103" s="220"/>
      <c r="BB103" s="15"/>
      <c r="BC103" s="15"/>
      <c r="BD103" s="15"/>
      <c r="BE103" s="15"/>
      <c r="BF103" s="15"/>
      <c r="BG103" s="15"/>
    </row>
    <row r="104" spans="20:59" x14ac:dyDescent="0.25">
      <c r="T104" s="463"/>
      <c r="U104" s="107"/>
      <c r="V104" s="107"/>
      <c r="W104" s="107"/>
      <c r="Y104" s="220"/>
      <c r="Z104" s="220"/>
      <c r="AC104" s="220"/>
      <c r="AE104" s="220"/>
      <c r="AF104" s="220"/>
      <c r="AG104" s="220"/>
      <c r="AH104" s="220"/>
      <c r="AI104" s="220"/>
      <c r="AL104" s="463"/>
      <c r="AM104" s="107"/>
      <c r="AN104" s="107"/>
      <c r="AO104" s="107"/>
      <c r="AQ104" s="220"/>
      <c r="AR104" s="220"/>
      <c r="AU104" s="220"/>
      <c r="AW104" s="220"/>
      <c r="AX104" s="220"/>
      <c r="AY104" s="220"/>
      <c r="AZ104" s="220"/>
      <c r="BA104" s="220"/>
      <c r="BB104" s="15"/>
      <c r="BC104" s="15"/>
      <c r="BD104" s="15"/>
      <c r="BE104" s="15"/>
      <c r="BF104" s="15"/>
      <c r="BG104" s="15"/>
    </row>
    <row r="105" spans="20:59" x14ac:dyDescent="0.25">
      <c r="T105" s="400"/>
      <c r="AA105" s="398"/>
      <c r="AB105" s="398"/>
      <c r="AF105" s="208"/>
      <c r="BB105" s="15"/>
      <c r="BC105" s="15"/>
      <c r="BD105" s="15"/>
      <c r="BE105" s="15"/>
      <c r="BF105" s="15"/>
      <c r="BG105" s="15"/>
    </row>
    <row r="106" spans="20:59" x14ac:dyDescent="0.25">
      <c r="T106" s="463"/>
      <c r="U106" s="107"/>
      <c r="V106" s="107"/>
      <c r="W106" s="107"/>
      <c r="Y106" s="220"/>
      <c r="Z106" s="220"/>
      <c r="AA106" s="220"/>
      <c r="AB106" s="220"/>
      <c r="AC106" s="220"/>
      <c r="AD106" s="220"/>
      <c r="AE106" s="220"/>
      <c r="AF106" s="220"/>
      <c r="AG106" s="220"/>
      <c r="AH106" s="220"/>
      <c r="AI106" s="220"/>
      <c r="AL106" s="463"/>
      <c r="AM106" s="463"/>
      <c r="AN106" s="463"/>
      <c r="AO106" s="463"/>
      <c r="AP106" s="463"/>
      <c r="AQ106" s="463"/>
      <c r="AR106" s="463"/>
      <c r="AS106" s="463"/>
      <c r="AT106" s="463"/>
      <c r="AU106" s="463"/>
      <c r="AV106" s="463"/>
      <c r="AW106" s="463"/>
      <c r="AX106" s="463"/>
      <c r="AY106" s="463"/>
      <c r="AZ106" s="463"/>
      <c r="BA106" s="463"/>
      <c r="BB106" s="15"/>
      <c r="BC106" s="15"/>
      <c r="BD106" s="15"/>
      <c r="BE106" s="15"/>
      <c r="BF106" s="15"/>
      <c r="BG106" s="15"/>
    </row>
    <row r="107" spans="20:59" x14ac:dyDescent="0.25">
      <c r="T107" s="463"/>
      <c r="U107" s="107"/>
      <c r="V107" s="107"/>
      <c r="W107" s="107"/>
      <c r="Y107" s="220"/>
      <c r="Z107" s="220"/>
      <c r="AA107" s="220"/>
      <c r="AB107" s="220"/>
      <c r="AC107" s="220"/>
      <c r="AE107" s="220"/>
      <c r="AF107" s="220"/>
      <c r="AG107" s="220"/>
      <c r="AH107" s="220"/>
      <c r="AI107" s="220"/>
      <c r="AP107" s="339"/>
      <c r="AQ107" s="339"/>
      <c r="AR107" s="389"/>
      <c r="AS107" s="389"/>
      <c r="AT107" s="389"/>
      <c r="AU107" s="389"/>
      <c r="AV107" s="389"/>
      <c r="AW107" s="389"/>
      <c r="AX107" s="389"/>
      <c r="AY107" s="463"/>
      <c r="AZ107" s="463"/>
      <c r="BA107" s="463"/>
      <c r="BB107" s="15"/>
      <c r="BC107" s="15"/>
      <c r="BD107" s="15"/>
      <c r="BE107" s="15"/>
      <c r="BF107" s="15"/>
      <c r="BG107" s="15"/>
    </row>
    <row r="108" spans="20:59" x14ac:dyDescent="0.25">
      <c r="T108" s="463"/>
      <c r="U108" s="107"/>
      <c r="V108" s="107"/>
      <c r="W108" s="107"/>
      <c r="Y108" s="220"/>
      <c r="Z108" s="220"/>
      <c r="AC108" s="220"/>
      <c r="AE108" s="220"/>
      <c r="AF108" s="220"/>
      <c r="AG108" s="220"/>
      <c r="AH108" s="220"/>
      <c r="AI108" s="220"/>
      <c r="AM108" s="463"/>
      <c r="AN108" s="463"/>
      <c r="AO108" s="463"/>
      <c r="AP108" s="208"/>
      <c r="AQ108" s="463"/>
      <c r="AR108" s="463"/>
      <c r="AS108" s="389"/>
      <c r="AT108" s="399"/>
      <c r="AU108" s="463"/>
      <c r="AV108" s="463"/>
      <c r="AW108" s="389"/>
      <c r="AX108" s="397"/>
      <c r="AY108" s="463"/>
      <c r="AZ108" s="397"/>
      <c r="BA108" s="389"/>
      <c r="BB108" s="15"/>
      <c r="BC108" s="15"/>
      <c r="BD108" s="15"/>
      <c r="BE108" s="15"/>
      <c r="BF108" s="15"/>
      <c r="BG108" s="15"/>
    </row>
    <row r="109" spans="20:59" x14ac:dyDescent="0.25">
      <c r="T109" s="463"/>
      <c r="U109" s="107"/>
      <c r="V109" s="107"/>
      <c r="W109" s="107"/>
      <c r="Y109" s="220"/>
      <c r="Z109" s="220"/>
      <c r="AC109" s="220"/>
      <c r="AE109" s="220"/>
      <c r="AF109" s="220"/>
      <c r="AG109" s="220"/>
      <c r="AH109" s="220"/>
      <c r="AI109" s="220"/>
      <c r="AL109" s="400"/>
      <c r="AS109" s="398"/>
      <c r="AT109" s="398"/>
      <c r="AX109" s="208"/>
      <c r="BB109" s="15"/>
      <c r="BC109" s="15"/>
      <c r="BD109" s="15"/>
      <c r="BE109" s="15"/>
      <c r="BF109" s="15"/>
      <c r="BG109" s="15"/>
    </row>
    <row r="110" spans="20:59" x14ac:dyDescent="0.25">
      <c r="T110" s="463"/>
      <c r="U110" s="107"/>
      <c r="V110" s="107"/>
      <c r="W110" s="107"/>
      <c r="Y110" s="220"/>
      <c r="Z110" s="220"/>
      <c r="AC110" s="220"/>
      <c r="AE110" s="220"/>
      <c r="AF110" s="220"/>
      <c r="AG110" s="220"/>
      <c r="AH110" s="220"/>
      <c r="AI110" s="220"/>
      <c r="AL110" s="463"/>
      <c r="AM110" s="107"/>
      <c r="AN110" s="107"/>
      <c r="AO110" s="107"/>
      <c r="AQ110" s="220"/>
      <c r="AR110" s="220"/>
      <c r="AS110" s="220"/>
      <c r="AT110" s="220"/>
      <c r="AU110" s="220"/>
      <c r="AV110" s="220"/>
      <c r="AW110" s="220"/>
      <c r="AX110" s="220"/>
      <c r="AY110" s="220"/>
      <c r="AZ110" s="220"/>
      <c r="BA110" s="220"/>
      <c r="BB110" s="15"/>
      <c r="BC110" s="15"/>
      <c r="BD110" s="15"/>
      <c r="BE110" s="15"/>
      <c r="BF110" s="15"/>
      <c r="BG110" s="15"/>
    </row>
    <row r="111" spans="20:59" x14ac:dyDescent="0.25">
      <c r="AL111" s="463"/>
      <c r="AM111" s="107"/>
      <c r="AN111" s="107"/>
      <c r="AO111" s="107"/>
      <c r="AQ111" s="220"/>
      <c r="AR111" s="220"/>
      <c r="AS111" s="220"/>
      <c r="AT111" s="220"/>
      <c r="AU111" s="220"/>
      <c r="AW111" s="220"/>
      <c r="AX111" s="220"/>
      <c r="AY111" s="220"/>
      <c r="AZ111" s="220"/>
      <c r="BA111" s="220"/>
      <c r="BB111" s="15"/>
      <c r="BC111" s="15"/>
      <c r="BD111" s="15"/>
      <c r="BE111" s="15"/>
      <c r="BF111" s="15"/>
      <c r="BG111" s="15"/>
    </row>
    <row r="112" spans="20:59" x14ac:dyDescent="0.25">
      <c r="T112" s="400"/>
      <c r="AA112" s="398"/>
      <c r="AB112" s="398"/>
      <c r="AL112" s="463"/>
      <c r="AM112" s="107"/>
      <c r="AN112" s="107"/>
      <c r="AO112" s="107"/>
      <c r="AQ112" s="220"/>
      <c r="AR112" s="220"/>
      <c r="AS112" s="220"/>
      <c r="AT112" s="220"/>
      <c r="AU112" s="220"/>
      <c r="AW112" s="220"/>
      <c r="AX112" s="220"/>
      <c r="AY112" s="220"/>
      <c r="AZ112" s="220"/>
      <c r="BA112" s="220"/>
      <c r="BB112" s="15"/>
      <c r="BC112" s="15"/>
      <c r="BD112" s="15"/>
      <c r="BE112" s="15"/>
      <c r="BF112" s="15"/>
      <c r="BG112" s="15"/>
    </row>
    <row r="113" spans="20:59" x14ac:dyDescent="0.25">
      <c r="T113" s="463"/>
      <c r="U113" s="107"/>
      <c r="V113" s="107"/>
      <c r="W113" s="107"/>
      <c r="Y113" s="220"/>
      <c r="Z113" s="220"/>
      <c r="AA113" s="220"/>
      <c r="AB113" s="220"/>
      <c r="AC113" s="220"/>
      <c r="AD113" s="220"/>
      <c r="AE113" s="220"/>
      <c r="AG113" s="220"/>
      <c r="AH113" s="220"/>
      <c r="AI113" s="220"/>
      <c r="AL113" s="463"/>
      <c r="AM113" s="107"/>
      <c r="AN113" s="107"/>
      <c r="AO113" s="107"/>
      <c r="AQ113" s="220"/>
      <c r="AR113" s="220"/>
      <c r="AU113" s="220"/>
      <c r="AW113" s="220"/>
      <c r="AX113" s="220"/>
      <c r="AY113" s="220"/>
      <c r="AZ113" s="220"/>
      <c r="BA113" s="220"/>
      <c r="BB113" s="15"/>
      <c r="BC113" s="15"/>
      <c r="BD113" s="15"/>
      <c r="BE113" s="15"/>
      <c r="BF113" s="15"/>
      <c r="BG113" s="15"/>
    </row>
    <row r="114" spans="20:59" x14ac:dyDescent="0.25">
      <c r="T114" s="463"/>
      <c r="U114" s="107"/>
      <c r="V114" s="107"/>
      <c r="W114" s="107"/>
      <c r="Y114" s="220"/>
      <c r="Z114" s="220"/>
      <c r="AA114" s="220"/>
      <c r="AB114" s="220"/>
      <c r="AC114" s="220"/>
      <c r="AE114" s="220"/>
      <c r="AG114" s="220"/>
      <c r="AH114" s="220"/>
      <c r="AI114" s="220"/>
      <c r="AL114" s="463"/>
      <c r="AM114" s="107"/>
      <c r="AN114" s="107"/>
      <c r="AO114" s="107"/>
      <c r="AQ114" s="220"/>
      <c r="AR114" s="220"/>
      <c r="BB114" s="15"/>
      <c r="BC114" s="15"/>
      <c r="BD114" s="15"/>
      <c r="BE114" s="15"/>
      <c r="BF114" s="15"/>
      <c r="BG114" s="15"/>
    </row>
    <row r="115" spans="20:59" x14ac:dyDescent="0.25">
      <c r="T115" s="463"/>
      <c r="U115" s="107"/>
      <c r="V115" s="107"/>
      <c r="W115" s="107"/>
      <c r="Y115" s="220"/>
      <c r="Z115" s="220"/>
      <c r="AC115" s="220"/>
      <c r="AE115" s="220"/>
      <c r="AG115" s="220"/>
      <c r="AH115" s="220"/>
      <c r="AI115" s="220"/>
      <c r="AX115" s="208"/>
      <c r="BB115" s="15"/>
      <c r="BC115" s="15"/>
      <c r="BD115" s="15"/>
      <c r="BE115" s="15"/>
      <c r="BF115" s="15"/>
      <c r="BG115" s="15"/>
    </row>
    <row r="116" spans="20:59" x14ac:dyDescent="0.25">
      <c r="T116" s="463"/>
      <c r="U116" s="107"/>
      <c r="V116" s="107"/>
      <c r="W116" s="107"/>
      <c r="Y116" s="220"/>
      <c r="Z116" s="220"/>
      <c r="AC116" s="220"/>
      <c r="AE116" s="220"/>
      <c r="AG116" s="220"/>
      <c r="AH116" s="220"/>
      <c r="AI116" s="220"/>
      <c r="AL116" s="400"/>
      <c r="AS116" s="398"/>
      <c r="AT116" s="398"/>
      <c r="AU116" s="220"/>
      <c r="AV116" s="220"/>
      <c r="AW116" s="220"/>
      <c r="AX116" s="220"/>
      <c r="AY116" s="220"/>
      <c r="AZ116" s="220"/>
      <c r="BA116" s="220"/>
      <c r="BB116" s="15"/>
      <c r="BC116" s="15"/>
      <c r="BD116" s="15"/>
      <c r="BE116" s="15"/>
      <c r="BF116" s="15"/>
      <c r="BG116" s="15"/>
    </row>
    <row r="117" spans="20:59" x14ac:dyDescent="0.25">
      <c r="T117" s="463"/>
      <c r="U117" s="107"/>
      <c r="V117" s="107"/>
      <c r="W117" s="107"/>
      <c r="Y117" s="220"/>
      <c r="Z117" s="220"/>
      <c r="AC117" s="220"/>
      <c r="AE117" s="220"/>
      <c r="AG117" s="220"/>
      <c r="AH117" s="220"/>
      <c r="AI117" s="220"/>
      <c r="AL117" s="463"/>
      <c r="AM117" s="107"/>
      <c r="AN117" s="107"/>
      <c r="AO117" s="107"/>
      <c r="AQ117" s="220"/>
      <c r="AR117" s="220"/>
      <c r="AS117" s="220"/>
      <c r="AT117" s="220"/>
      <c r="AU117" s="220"/>
      <c r="AV117" s="220"/>
      <c r="AW117" s="220"/>
      <c r="AX117" s="220"/>
      <c r="AY117" s="220"/>
      <c r="AZ117" s="220"/>
      <c r="BA117" s="220"/>
      <c r="BB117" s="15"/>
      <c r="BC117" s="15"/>
      <c r="BD117" s="15"/>
      <c r="BE117" s="15"/>
      <c r="BF117" s="15"/>
      <c r="BG117" s="15"/>
    </row>
    <row r="118" spans="20:59" x14ac:dyDescent="0.25">
      <c r="AL118" s="463"/>
      <c r="AM118" s="107"/>
      <c r="AN118" s="107"/>
      <c r="AO118" s="107"/>
      <c r="AQ118" s="220"/>
      <c r="AR118" s="220"/>
      <c r="AS118" s="220"/>
      <c r="AT118" s="220"/>
      <c r="AU118" s="220"/>
      <c r="AW118" s="220"/>
      <c r="AX118" s="220"/>
      <c r="AY118" s="220"/>
      <c r="AZ118" s="220"/>
      <c r="BA118" s="220"/>
      <c r="BB118" s="15"/>
      <c r="BC118" s="15"/>
      <c r="BD118" s="15"/>
      <c r="BE118" s="15"/>
      <c r="BF118" s="15"/>
      <c r="BG118" s="15"/>
    </row>
    <row r="119" spans="20:59" x14ac:dyDescent="0.25">
      <c r="T119" s="463"/>
      <c r="X119" s="463"/>
      <c r="Y119" s="463"/>
      <c r="Z119" s="463"/>
      <c r="AA119" s="463"/>
      <c r="AB119" s="463"/>
      <c r="AC119" s="463"/>
      <c r="AD119" s="463"/>
      <c r="AE119" s="463"/>
      <c r="AF119" s="463"/>
      <c r="AG119" s="463"/>
      <c r="AH119" s="463"/>
      <c r="AI119" s="463"/>
      <c r="AL119" s="463"/>
      <c r="AM119" s="107"/>
      <c r="AN119" s="107"/>
      <c r="AO119" s="107"/>
      <c r="AQ119" s="220"/>
      <c r="AR119" s="220"/>
      <c r="AS119" s="220"/>
      <c r="AT119" s="220"/>
      <c r="AU119" s="220"/>
      <c r="AW119" s="220"/>
      <c r="AX119" s="220"/>
      <c r="AY119" s="220"/>
      <c r="AZ119" s="220"/>
      <c r="BA119" s="220"/>
      <c r="BB119" s="15"/>
      <c r="BC119" s="15"/>
      <c r="BD119" s="15"/>
      <c r="BE119" s="15"/>
      <c r="BF119" s="15"/>
      <c r="BG119" s="15"/>
    </row>
    <row r="120" spans="20:59" x14ac:dyDescent="0.25">
      <c r="X120" s="339"/>
      <c r="Y120" s="339"/>
      <c r="Z120" s="389"/>
      <c r="AA120" s="389"/>
      <c r="AB120" s="389"/>
      <c r="AC120" s="389"/>
      <c r="AD120" s="389"/>
      <c r="AE120" s="389"/>
      <c r="AF120" s="389"/>
      <c r="AG120" s="463"/>
      <c r="AH120" s="463"/>
      <c r="AI120" s="463"/>
      <c r="AL120" s="463"/>
      <c r="AM120" s="107"/>
      <c r="AN120" s="107"/>
      <c r="AO120" s="107"/>
      <c r="AQ120" s="220"/>
      <c r="AR120" s="220"/>
      <c r="AU120" s="220"/>
      <c r="AW120" s="220"/>
      <c r="AX120" s="220"/>
      <c r="AY120" s="220"/>
      <c r="AZ120" s="220"/>
      <c r="BA120" s="220"/>
      <c r="BB120" s="15"/>
      <c r="BC120" s="15"/>
      <c r="BD120" s="15"/>
      <c r="BE120" s="15"/>
      <c r="BF120" s="15"/>
      <c r="BG120" s="15"/>
    </row>
    <row r="121" spans="20:59" x14ac:dyDescent="0.25">
      <c r="X121" s="208"/>
      <c r="Y121" s="463"/>
      <c r="Z121" s="463"/>
      <c r="AA121" s="389"/>
      <c r="AB121" s="399"/>
      <c r="AC121" s="463"/>
      <c r="AD121" s="463"/>
      <c r="AE121" s="389"/>
      <c r="AF121" s="397"/>
      <c r="AG121" s="463"/>
      <c r="AH121" s="397"/>
      <c r="AI121" s="389"/>
      <c r="AL121" s="463"/>
      <c r="AM121" s="107"/>
      <c r="AN121" s="107"/>
      <c r="AO121" s="107"/>
      <c r="AQ121" s="220"/>
      <c r="AR121" s="220"/>
      <c r="BB121" s="15"/>
      <c r="BC121" s="15"/>
      <c r="BD121" s="15"/>
      <c r="BE121" s="15"/>
      <c r="BF121" s="15"/>
      <c r="BG121" s="15"/>
    </row>
    <row r="122" spans="20:59" x14ac:dyDescent="0.25">
      <c r="T122" s="400"/>
      <c r="AA122" s="398"/>
      <c r="AB122" s="398"/>
      <c r="AF122" s="208"/>
      <c r="AX122" s="208"/>
      <c r="BB122" s="15"/>
      <c r="BC122" s="15"/>
      <c r="BD122" s="15"/>
      <c r="BE122" s="15"/>
      <c r="BF122" s="15"/>
      <c r="BG122" s="15"/>
    </row>
    <row r="123" spans="20:59" x14ac:dyDescent="0.25">
      <c r="AL123" s="463"/>
      <c r="AM123" s="107"/>
      <c r="AN123" s="107"/>
      <c r="AO123" s="107"/>
      <c r="AQ123" s="220"/>
      <c r="AR123" s="220"/>
      <c r="AS123" s="220"/>
      <c r="AT123" s="220"/>
      <c r="AU123" s="220"/>
      <c r="AW123" s="220"/>
      <c r="AX123" s="220"/>
      <c r="AY123" s="220"/>
      <c r="AZ123" s="220"/>
      <c r="BA123" s="220"/>
      <c r="BB123" s="15"/>
      <c r="BC123" s="15"/>
      <c r="BD123" s="15"/>
      <c r="BE123" s="15"/>
      <c r="BF123" s="15"/>
      <c r="BG123" s="15"/>
    </row>
    <row r="124" spans="20:59" x14ac:dyDescent="0.25">
      <c r="T124" s="400"/>
      <c r="AL124" s="463"/>
      <c r="AM124" s="107"/>
      <c r="AN124" s="107"/>
      <c r="AO124" s="107"/>
      <c r="AQ124" s="220"/>
      <c r="AR124" s="220"/>
      <c r="AU124" s="220"/>
      <c r="AW124" s="220"/>
      <c r="AX124" s="220"/>
      <c r="AY124" s="220"/>
      <c r="AZ124" s="220"/>
      <c r="BA124" s="220"/>
      <c r="BB124" s="15"/>
      <c r="BC124" s="15"/>
      <c r="BD124" s="15"/>
      <c r="BE124" s="15"/>
      <c r="BF124" s="15"/>
      <c r="BG124" s="15"/>
    </row>
    <row r="125" spans="20:59" x14ac:dyDescent="0.25">
      <c r="T125" s="463"/>
      <c r="U125" s="107"/>
      <c r="V125" s="107"/>
      <c r="W125" s="107"/>
      <c r="Y125" s="220"/>
      <c r="Z125" s="220"/>
      <c r="AA125" s="220"/>
      <c r="AB125" s="220"/>
      <c r="AC125" s="220"/>
      <c r="AD125" s="220"/>
      <c r="AE125" s="220"/>
      <c r="AF125" s="220"/>
      <c r="AG125" s="220"/>
      <c r="AH125" s="220"/>
      <c r="AI125" s="220"/>
      <c r="BB125" s="15"/>
      <c r="BC125" s="15"/>
      <c r="BD125" s="15"/>
      <c r="BE125" s="15"/>
      <c r="BF125" s="15"/>
      <c r="BG125" s="15"/>
    </row>
    <row r="126" spans="20:59" x14ac:dyDescent="0.25">
      <c r="T126" s="463"/>
      <c r="U126" s="107"/>
      <c r="V126" s="107"/>
      <c r="W126" s="107"/>
      <c r="Y126" s="220"/>
      <c r="Z126" s="220"/>
      <c r="AA126" s="220"/>
      <c r="AB126" s="220"/>
      <c r="AC126" s="220"/>
      <c r="AE126" s="220"/>
      <c r="AF126" s="220"/>
      <c r="AG126" s="220"/>
      <c r="AH126" s="220"/>
      <c r="AI126" s="220"/>
      <c r="AL126" s="463"/>
      <c r="AM126" s="463"/>
      <c r="AN126" s="463"/>
      <c r="AO126" s="463"/>
      <c r="AP126" s="463"/>
      <c r="AQ126" s="463"/>
      <c r="AR126" s="463"/>
      <c r="AS126" s="463"/>
      <c r="AT126" s="463"/>
      <c r="AU126" s="463"/>
      <c r="AV126" s="463"/>
      <c r="AW126" s="463"/>
      <c r="AX126" s="463"/>
      <c r="AY126" s="463"/>
      <c r="AZ126" s="463"/>
      <c r="BA126" s="463"/>
      <c r="BB126" s="15"/>
      <c r="BC126" s="15"/>
      <c r="BD126" s="15"/>
      <c r="BE126" s="15"/>
      <c r="BF126" s="15"/>
      <c r="BG126" s="15"/>
    </row>
    <row r="127" spans="20:59" x14ac:dyDescent="0.25">
      <c r="T127" s="463"/>
      <c r="U127" s="107"/>
      <c r="V127" s="107"/>
      <c r="W127" s="107"/>
      <c r="Y127" s="220"/>
      <c r="Z127" s="220"/>
      <c r="AC127" s="220"/>
      <c r="AE127" s="220"/>
      <c r="AF127" s="220"/>
      <c r="AG127" s="220"/>
      <c r="AH127" s="220"/>
      <c r="AI127" s="220"/>
      <c r="AP127" s="339"/>
      <c r="AQ127" s="339"/>
      <c r="AR127" s="389"/>
      <c r="AS127" s="389"/>
      <c r="AT127" s="389"/>
      <c r="AU127" s="389"/>
      <c r="AV127" s="389"/>
      <c r="AW127" s="389"/>
      <c r="AX127" s="389"/>
      <c r="AY127" s="463"/>
      <c r="AZ127" s="463"/>
      <c r="BA127" s="463"/>
      <c r="BB127" s="15"/>
      <c r="BC127" s="15"/>
      <c r="BD127" s="15"/>
      <c r="BE127" s="15"/>
      <c r="BF127" s="15"/>
      <c r="BG127" s="15"/>
    </row>
    <row r="128" spans="20:59" x14ac:dyDescent="0.25">
      <c r="T128" s="463"/>
      <c r="U128" s="107"/>
      <c r="V128" s="107"/>
      <c r="W128" s="107"/>
      <c r="Y128" s="220"/>
      <c r="Z128" s="220"/>
      <c r="AC128" s="220"/>
      <c r="AE128" s="220"/>
      <c r="AF128" s="220"/>
      <c r="AG128" s="220"/>
      <c r="AH128" s="220"/>
      <c r="AI128" s="220"/>
      <c r="AM128" s="463"/>
      <c r="AN128" s="463"/>
      <c r="AO128" s="463"/>
      <c r="AP128" s="208"/>
      <c r="AQ128" s="463"/>
      <c r="AR128" s="463"/>
      <c r="AS128" s="389"/>
      <c r="AT128" s="399"/>
      <c r="AU128" s="463"/>
      <c r="AV128" s="463"/>
      <c r="AW128" s="389"/>
      <c r="AX128" s="397"/>
      <c r="AY128" s="463"/>
      <c r="AZ128" s="397"/>
      <c r="BA128" s="389"/>
      <c r="BB128" s="15"/>
      <c r="BC128" s="15"/>
      <c r="BD128" s="15"/>
      <c r="BE128" s="15"/>
      <c r="BF128" s="15"/>
      <c r="BG128" s="15"/>
    </row>
    <row r="129" spans="20:59" x14ac:dyDescent="0.25">
      <c r="AL129" s="400"/>
      <c r="AS129" s="398"/>
      <c r="AT129" s="398"/>
      <c r="AX129" s="208"/>
      <c r="BB129" s="15"/>
      <c r="BC129" s="15"/>
      <c r="BD129" s="15"/>
      <c r="BE129" s="15"/>
      <c r="BF129" s="15"/>
      <c r="BG129" s="15"/>
    </row>
    <row r="130" spans="20:59" x14ac:dyDescent="0.25">
      <c r="T130" s="400"/>
      <c r="AL130" s="463"/>
      <c r="AM130" s="107"/>
      <c r="AN130" s="107"/>
      <c r="AO130" s="107"/>
      <c r="AQ130" s="220"/>
      <c r="AR130" s="220"/>
      <c r="AS130" s="220"/>
      <c r="AT130" s="220"/>
      <c r="AU130" s="220"/>
      <c r="AV130" s="220"/>
      <c r="AW130" s="220"/>
      <c r="AX130" s="220"/>
      <c r="AY130" s="220"/>
      <c r="AZ130" s="220"/>
      <c r="BA130" s="220"/>
      <c r="BB130" s="15"/>
      <c r="BC130" s="15"/>
      <c r="BD130" s="15"/>
      <c r="BE130" s="15"/>
      <c r="BF130" s="15"/>
      <c r="BG130" s="15"/>
    </row>
    <row r="131" spans="20:59" x14ac:dyDescent="0.25">
      <c r="T131" s="463"/>
      <c r="U131" s="107"/>
      <c r="V131" s="107"/>
      <c r="W131" s="107"/>
      <c r="Y131" s="220"/>
      <c r="Z131" s="220"/>
      <c r="AA131" s="220"/>
      <c r="AB131" s="220"/>
      <c r="AC131" s="220"/>
      <c r="AE131" s="220"/>
      <c r="AF131" s="220"/>
      <c r="AG131" s="220"/>
      <c r="AH131" s="220"/>
      <c r="AI131" s="220"/>
      <c r="AL131" s="463"/>
      <c r="AM131" s="107"/>
      <c r="AN131" s="107"/>
      <c r="AO131" s="107"/>
      <c r="AQ131" s="220"/>
      <c r="AR131" s="220"/>
      <c r="AS131" s="220"/>
      <c r="AT131" s="220"/>
      <c r="AU131" s="220"/>
      <c r="AV131" s="220"/>
      <c r="AW131" s="220"/>
      <c r="AX131" s="220"/>
      <c r="AY131" s="220"/>
      <c r="AZ131" s="220"/>
      <c r="BA131" s="220"/>
      <c r="BB131" s="15"/>
      <c r="BC131" s="15"/>
      <c r="BD131" s="15"/>
      <c r="BE131" s="15"/>
      <c r="BF131" s="15"/>
      <c r="BG131" s="15"/>
    </row>
    <row r="132" spans="20:59" x14ac:dyDescent="0.25">
      <c r="T132" s="463"/>
      <c r="U132" s="107"/>
      <c r="V132" s="107"/>
      <c r="W132" s="107"/>
      <c r="Y132" s="220"/>
      <c r="Z132" s="220"/>
      <c r="AC132" s="220"/>
      <c r="AE132" s="220"/>
      <c r="AF132" s="220"/>
      <c r="AG132" s="220"/>
      <c r="AH132" s="220"/>
      <c r="AI132" s="220"/>
      <c r="AL132" s="463"/>
      <c r="AM132" s="107"/>
      <c r="AN132" s="107"/>
      <c r="AO132" s="107"/>
      <c r="AQ132" s="220"/>
      <c r="AR132" s="220"/>
      <c r="AS132" s="220"/>
      <c r="AT132" s="220"/>
      <c r="AU132" s="220"/>
      <c r="AW132" s="220"/>
      <c r="AX132" s="220"/>
      <c r="AY132" s="220"/>
      <c r="AZ132" s="220"/>
      <c r="BA132" s="220"/>
      <c r="BB132" s="15"/>
      <c r="BC132" s="15"/>
      <c r="BD132" s="15"/>
      <c r="BE132" s="15"/>
      <c r="BF132" s="15"/>
      <c r="BG132" s="15"/>
    </row>
    <row r="133" spans="20:59" x14ac:dyDescent="0.25">
      <c r="AL133" s="463"/>
      <c r="AM133" s="107"/>
      <c r="AN133" s="107"/>
      <c r="AO133" s="107"/>
      <c r="AQ133" s="220"/>
      <c r="AR133" s="220"/>
      <c r="AU133" s="220"/>
      <c r="AW133" s="220"/>
      <c r="AX133" s="220"/>
      <c r="AY133" s="220"/>
      <c r="AZ133" s="220"/>
      <c r="BA133" s="220"/>
      <c r="BB133" s="15"/>
      <c r="BC133" s="15"/>
      <c r="BD133" s="15"/>
      <c r="BE133" s="15"/>
      <c r="BF133" s="15"/>
      <c r="BG133" s="15"/>
    </row>
    <row r="134" spans="20:59" x14ac:dyDescent="0.25">
      <c r="T134" s="400"/>
      <c r="AL134" s="463"/>
      <c r="AM134" s="107"/>
      <c r="AN134" s="107"/>
      <c r="AO134" s="107"/>
      <c r="AQ134" s="220"/>
      <c r="AR134" s="220"/>
      <c r="AU134" s="220"/>
      <c r="AW134" s="220"/>
      <c r="AX134" s="220"/>
      <c r="AY134" s="220"/>
      <c r="AZ134" s="220"/>
      <c r="BA134" s="220"/>
      <c r="BB134" s="15"/>
      <c r="BC134" s="15"/>
      <c r="BD134" s="15"/>
      <c r="BE134" s="15"/>
      <c r="BF134" s="15"/>
      <c r="BG134" s="15"/>
    </row>
    <row r="135" spans="20:59" x14ac:dyDescent="0.25">
      <c r="T135" s="463"/>
      <c r="U135" s="107"/>
      <c r="V135" s="107"/>
      <c r="W135" s="107"/>
      <c r="Y135" s="220"/>
      <c r="Z135" s="220"/>
      <c r="AA135" s="220"/>
      <c r="AB135" s="220"/>
      <c r="AC135" s="220"/>
      <c r="AD135" s="220"/>
      <c r="AE135" s="220"/>
      <c r="AF135" s="220"/>
      <c r="AG135" s="220"/>
      <c r="AH135" s="220"/>
      <c r="AI135" s="220"/>
      <c r="BB135" s="15"/>
      <c r="BC135" s="15"/>
      <c r="BD135" s="15"/>
      <c r="BE135" s="15"/>
      <c r="BF135" s="15"/>
      <c r="BG135" s="15"/>
    </row>
    <row r="136" spans="20:59" x14ac:dyDescent="0.25">
      <c r="T136" s="463"/>
      <c r="U136" s="107"/>
      <c r="V136" s="107"/>
      <c r="W136" s="107"/>
      <c r="Y136" s="220"/>
      <c r="Z136" s="220"/>
      <c r="AA136" s="220"/>
      <c r="AB136" s="220"/>
      <c r="AC136" s="220"/>
      <c r="AE136" s="220"/>
      <c r="AF136" s="220"/>
      <c r="AG136" s="220"/>
      <c r="AH136" s="220"/>
      <c r="AI136" s="220"/>
      <c r="AL136" s="400"/>
      <c r="AS136" s="398"/>
      <c r="AT136" s="398"/>
      <c r="AX136" s="208"/>
      <c r="BB136" s="15"/>
      <c r="BC136" s="15"/>
      <c r="BD136" s="15"/>
      <c r="BE136" s="15"/>
      <c r="BF136" s="15"/>
      <c r="BG136" s="15"/>
    </row>
    <row r="137" spans="20:59" x14ac:dyDescent="0.25">
      <c r="T137" s="463"/>
      <c r="U137" s="107"/>
      <c r="V137" s="107"/>
      <c r="W137" s="107"/>
      <c r="Y137" s="220"/>
      <c r="Z137" s="220"/>
      <c r="AC137" s="220"/>
      <c r="AE137" s="220"/>
      <c r="AF137" s="220"/>
      <c r="AG137" s="220"/>
      <c r="AH137" s="220"/>
      <c r="AI137" s="220"/>
      <c r="AL137" s="463"/>
      <c r="AM137" s="107"/>
      <c r="AN137" s="107"/>
      <c r="AO137" s="107"/>
      <c r="AQ137" s="220"/>
      <c r="AR137" s="220"/>
      <c r="AS137" s="220"/>
      <c r="AT137" s="220"/>
      <c r="AU137" s="220"/>
      <c r="AW137" s="220"/>
      <c r="AX137" s="220"/>
      <c r="AY137" s="220"/>
      <c r="AZ137" s="220"/>
      <c r="BA137" s="220"/>
      <c r="BB137" s="15"/>
      <c r="BC137" s="15"/>
      <c r="BD137" s="15"/>
      <c r="BE137" s="15"/>
      <c r="BF137" s="15"/>
      <c r="BG137" s="15"/>
    </row>
    <row r="138" spans="20:59" x14ac:dyDescent="0.25">
      <c r="T138" s="463"/>
      <c r="U138" s="107"/>
      <c r="V138" s="107"/>
      <c r="W138" s="107"/>
      <c r="Y138" s="220"/>
      <c r="Z138" s="220"/>
      <c r="AC138" s="220"/>
      <c r="AE138" s="220"/>
      <c r="AF138" s="220"/>
      <c r="AG138" s="220"/>
      <c r="AH138" s="220"/>
      <c r="AI138" s="220"/>
      <c r="AL138" s="463"/>
      <c r="AM138" s="107"/>
      <c r="AN138" s="107"/>
      <c r="AO138" s="107"/>
      <c r="AQ138" s="220"/>
      <c r="AR138" s="220"/>
      <c r="AU138" s="220"/>
      <c r="AW138" s="220"/>
      <c r="AX138" s="220"/>
      <c r="AY138" s="220"/>
      <c r="AZ138" s="220"/>
      <c r="BA138" s="220"/>
      <c r="BB138" s="15"/>
      <c r="BC138" s="15"/>
      <c r="BD138" s="15"/>
      <c r="BE138" s="15"/>
      <c r="BF138" s="15"/>
      <c r="BG138" s="15"/>
    </row>
    <row r="139" spans="20:59" x14ac:dyDescent="0.25">
      <c r="BB139" s="15"/>
      <c r="BC139" s="15"/>
      <c r="BD139" s="15"/>
      <c r="BE139" s="15"/>
      <c r="BF139" s="15"/>
      <c r="BG139" s="15"/>
    </row>
    <row r="140" spans="20:59" x14ac:dyDescent="0.25">
      <c r="AL140" s="400"/>
      <c r="AS140" s="398"/>
      <c r="AT140" s="398"/>
      <c r="AX140" s="208"/>
      <c r="BB140" s="15"/>
      <c r="BC140" s="15"/>
      <c r="BD140" s="15"/>
      <c r="BE140" s="15"/>
      <c r="BF140" s="15"/>
      <c r="BG140" s="15"/>
    </row>
    <row r="141" spans="20:59" x14ac:dyDescent="0.25">
      <c r="T141" s="463"/>
      <c r="X141" s="463"/>
      <c r="Y141" s="463"/>
      <c r="Z141" s="463"/>
      <c r="AA141" s="463"/>
      <c r="AB141" s="463"/>
      <c r="AC141" s="463"/>
      <c r="AD141" s="463"/>
      <c r="AE141" s="463"/>
      <c r="AF141" s="463"/>
      <c r="AG141" s="463"/>
      <c r="AH141" s="463"/>
      <c r="AI141" s="463"/>
      <c r="AL141" s="463"/>
      <c r="AM141" s="107"/>
      <c r="AN141" s="107"/>
      <c r="AO141" s="107"/>
      <c r="AQ141" s="220"/>
      <c r="AR141" s="220"/>
      <c r="AS141" s="220"/>
      <c r="AT141" s="220"/>
      <c r="AU141" s="220"/>
      <c r="AV141" s="220"/>
      <c r="AW141" s="220"/>
      <c r="AX141" s="220"/>
      <c r="AY141" s="220"/>
      <c r="AZ141" s="220"/>
      <c r="BA141" s="220"/>
      <c r="BB141" s="15"/>
      <c r="BC141" s="15"/>
      <c r="BD141" s="15"/>
      <c r="BE141" s="15"/>
      <c r="BF141" s="15"/>
      <c r="BG141" s="15"/>
    </row>
    <row r="142" spans="20:59" x14ac:dyDescent="0.25">
      <c r="X142" s="339"/>
      <c r="Y142" s="339"/>
      <c r="Z142" s="389"/>
      <c r="AA142" s="389"/>
      <c r="AB142" s="389"/>
      <c r="AC142" s="389"/>
      <c r="AD142" s="389"/>
      <c r="AE142" s="389"/>
      <c r="AF142" s="389"/>
      <c r="AG142" s="463"/>
      <c r="AH142" s="463"/>
      <c r="AI142" s="463"/>
      <c r="AL142" s="463"/>
      <c r="AM142" s="107"/>
      <c r="AN142" s="107"/>
      <c r="AO142" s="107"/>
      <c r="AQ142" s="220"/>
      <c r="AR142" s="220"/>
      <c r="AS142" s="220"/>
      <c r="AT142" s="220"/>
      <c r="AU142" s="220"/>
      <c r="AV142" s="220"/>
      <c r="AW142" s="220"/>
      <c r="AX142" s="220"/>
      <c r="AY142" s="220"/>
      <c r="AZ142" s="220"/>
      <c r="BA142" s="220"/>
      <c r="BB142" s="15"/>
      <c r="BC142" s="15"/>
      <c r="BD142" s="15"/>
      <c r="BE142" s="15"/>
      <c r="BF142" s="15"/>
      <c r="BG142" s="15"/>
    </row>
    <row r="143" spans="20:59" x14ac:dyDescent="0.25">
      <c r="X143" s="208"/>
      <c r="Y143" s="463"/>
      <c r="Z143" s="463"/>
      <c r="AA143" s="389"/>
      <c r="AB143" s="399"/>
      <c r="AC143" s="463"/>
      <c r="AD143" s="463"/>
      <c r="AE143" s="389"/>
      <c r="AF143" s="397"/>
      <c r="AG143" s="463"/>
      <c r="AH143" s="397"/>
      <c r="AI143" s="389"/>
      <c r="AL143" s="463"/>
      <c r="AM143" s="107"/>
      <c r="AN143" s="107"/>
      <c r="AO143" s="107"/>
      <c r="AQ143" s="220"/>
      <c r="AR143" s="220"/>
      <c r="AS143" s="220"/>
      <c r="AT143" s="220"/>
      <c r="AU143" s="220"/>
      <c r="AW143" s="220"/>
      <c r="AX143" s="220"/>
      <c r="AY143" s="220"/>
      <c r="AZ143" s="220"/>
      <c r="BA143" s="220"/>
      <c r="BB143" s="15"/>
      <c r="BC143" s="15"/>
      <c r="BD143" s="15"/>
      <c r="BE143" s="15"/>
      <c r="BF143" s="15"/>
      <c r="BG143" s="15"/>
    </row>
    <row r="144" spans="20:59" x14ac:dyDescent="0.25">
      <c r="T144" s="400"/>
      <c r="AA144" s="398"/>
      <c r="AB144" s="398"/>
      <c r="AF144" s="208"/>
      <c r="AL144" s="463"/>
      <c r="AM144" s="107"/>
      <c r="AN144" s="107"/>
      <c r="AO144" s="107"/>
      <c r="AQ144" s="220"/>
      <c r="AR144" s="220"/>
      <c r="AU144" s="220"/>
      <c r="AW144" s="220"/>
      <c r="AX144" s="220"/>
      <c r="AY144" s="220"/>
      <c r="AZ144" s="220"/>
      <c r="BA144" s="220"/>
      <c r="BB144" s="15"/>
      <c r="BC144" s="15"/>
      <c r="BD144" s="15"/>
      <c r="BE144" s="15"/>
      <c r="BF144" s="15"/>
      <c r="BG144" s="15"/>
    </row>
    <row r="145" spans="20:59" x14ac:dyDescent="0.25">
      <c r="T145" s="463"/>
      <c r="U145" s="107"/>
      <c r="V145" s="107"/>
      <c r="W145" s="107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BB145" s="15"/>
      <c r="BC145" s="15"/>
      <c r="BD145" s="15"/>
      <c r="BE145" s="15"/>
      <c r="BF145" s="15"/>
      <c r="BG145" s="15"/>
    </row>
    <row r="146" spans="20:59" x14ac:dyDescent="0.25">
      <c r="T146" s="463"/>
      <c r="U146" s="107"/>
      <c r="V146" s="107"/>
      <c r="W146" s="107"/>
      <c r="Y146" s="220"/>
      <c r="Z146" s="220"/>
      <c r="AA146" s="220"/>
      <c r="AB146" s="220"/>
      <c r="AC146" s="220"/>
      <c r="AE146" s="220"/>
      <c r="AF146" s="220"/>
      <c r="AG146" s="220"/>
      <c r="AH146" s="220"/>
      <c r="AI146" s="220"/>
      <c r="AL146" s="463"/>
      <c r="AM146" s="463"/>
      <c r="AN146" s="463"/>
      <c r="AO146" s="463"/>
      <c r="AP146" s="463"/>
      <c r="AQ146" s="463"/>
      <c r="AR146" s="463"/>
      <c r="AS146" s="463"/>
      <c r="AT146" s="463"/>
      <c r="AU146" s="463"/>
      <c r="AV146" s="463"/>
      <c r="AW146" s="463"/>
      <c r="AX146" s="463"/>
      <c r="AY146" s="463"/>
      <c r="AZ146" s="463"/>
      <c r="BA146" s="463"/>
      <c r="BB146" s="15"/>
      <c r="BC146" s="15"/>
      <c r="BD146" s="15"/>
      <c r="BE146" s="15"/>
      <c r="BF146" s="15"/>
      <c r="BG146" s="15"/>
    </row>
    <row r="147" spans="20:59" x14ac:dyDescent="0.25">
      <c r="T147" s="463"/>
      <c r="U147" s="107"/>
      <c r="V147" s="107"/>
      <c r="W147" s="107"/>
      <c r="Y147" s="220"/>
      <c r="Z147" s="220"/>
      <c r="AC147" s="220"/>
      <c r="AE147" s="220"/>
      <c r="AF147" s="220"/>
      <c r="AG147" s="220"/>
      <c r="AH147" s="220"/>
      <c r="AI147" s="220"/>
      <c r="AP147" s="339"/>
      <c r="AQ147" s="339"/>
      <c r="AR147" s="389"/>
      <c r="AS147" s="389"/>
      <c r="AT147" s="389"/>
      <c r="AU147" s="389"/>
      <c r="AV147" s="389"/>
      <c r="AW147" s="389"/>
      <c r="AX147" s="389"/>
      <c r="AY147" s="463"/>
      <c r="AZ147" s="463"/>
      <c r="BA147" s="463"/>
      <c r="BB147" s="15"/>
      <c r="BC147" s="15"/>
      <c r="BD147" s="15"/>
      <c r="BE147" s="15"/>
      <c r="BF147" s="15"/>
      <c r="BG147" s="15"/>
    </row>
    <row r="148" spans="20:59" x14ac:dyDescent="0.25">
      <c r="T148" s="463"/>
      <c r="U148" s="107"/>
      <c r="V148" s="107"/>
      <c r="W148" s="107"/>
      <c r="Y148" s="220"/>
      <c r="Z148" s="220"/>
      <c r="AC148" s="220"/>
      <c r="AE148" s="220"/>
      <c r="AF148" s="220"/>
      <c r="AG148" s="220"/>
      <c r="AH148" s="220"/>
      <c r="AI148" s="220"/>
      <c r="AM148" s="463"/>
      <c r="AN148" s="463"/>
      <c r="AO148" s="463"/>
      <c r="AP148" s="208"/>
      <c r="AQ148" s="463"/>
      <c r="AR148" s="463"/>
      <c r="AS148" s="389"/>
      <c r="AT148" s="399"/>
      <c r="AU148" s="463"/>
      <c r="AV148" s="463"/>
      <c r="AW148" s="389"/>
      <c r="AX148" s="397"/>
      <c r="AY148" s="463"/>
      <c r="AZ148" s="397"/>
      <c r="BA148" s="389"/>
      <c r="BB148" s="15"/>
      <c r="BC148" s="15"/>
      <c r="BD148" s="15"/>
      <c r="BE148" s="15"/>
      <c r="BF148" s="15"/>
      <c r="BG148" s="15"/>
    </row>
    <row r="149" spans="20:59" x14ac:dyDescent="0.25">
      <c r="AL149" s="400"/>
      <c r="AS149" s="398"/>
      <c r="AT149" s="398"/>
      <c r="AX149" s="208"/>
      <c r="BB149" s="15"/>
      <c r="BC149" s="15"/>
      <c r="BD149" s="15"/>
      <c r="BE149" s="15"/>
      <c r="BF149" s="15"/>
      <c r="BG149" s="15"/>
    </row>
    <row r="150" spans="20:59" x14ac:dyDescent="0.25">
      <c r="T150" s="400"/>
      <c r="AA150" s="398"/>
      <c r="AB150" s="398"/>
      <c r="AF150" s="208"/>
      <c r="AL150" s="463"/>
      <c r="AM150" s="107"/>
      <c r="AN150" s="107"/>
      <c r="AO150" s="107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15"/>
      <c r="BC150" s="15"/>
      <c r="BD150" s="15"/>
      <c r="BE150" s="15"/>
      <c r="BF150" s="15"/>
      <c r="BG150" s="15"/>
    </row>
    <row r="151" spans="20:59" x14ac:dyDescent="0.25">
      <c r="T151" s="463"/>
      <c r="U151" s="107"/>
      <c r="V151" s="107"/>
      <c r="W151" s="107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L151" s="463"/>
      <c r="AM151" s="107"/>
      <c r="AN151" s="107"/>
      <c r="AO151" s="107"/>
      <c r="AQ151" s="220"/>
      <c r="AR151" s="220"/>
      <c r="AS151" s="220"/>
      <c r="AT151" s="220"/>
      <c r="AU151" s="220"/>
      <c r="AW151" s="220"/>
      <c r="AX151" s="220"/>
      <c r="AY151" s="220"/>
      <c r="AZ151" s="220"/>
      <c r="BA151" s="220"/>
      <c r="BB151" s="15"/>
      <c r="BC151" s="15"/>
      <c r="BD151" s="15"/>
      <c r="BE151" s="15"/>
      <c r="BF151" s="15"/>
      <c r="BG151" s="15"/>
    </row>
    <row r="152" spans="20:59" x14ac:dyDescent="0.25">
      <c r="T152" s="463"/>
      <c r="U152" s="107"/>
      <c r="V152" s="107"/>
      <c r="W152" s="107"/>
      <c r="Y152" s="220"/>
      <c r="Z152" s="220"/>
      <c r="AA152" s="220"/>
      <c r="AB152" s="220"/>
      <c r="AC152" s="220"/>
      <c r="AE152" s="220"/>
      <c r="AF152" s="220"/>
      <c r="AG152" s="220"/>
      <c r="AH152" s="220"/>
      <c r="AI152" s="220"/>
      <c r="AL152" s="463"/>
      <c r="AM152" s="107"/>
      <c r="AN152" s="107"/>
      <c r="AO152" s="107"/>
      <c r="AQ152" s="220"/>
      <c r="AR152" s="220"/>
      <c r="AU152" s="220"/>
      <c r="AW152" s="220"/>
      <c r="AX152" s="220"/>
      <c r="AY152" s="220"/>
      <c r="AZ152" s="220"/>
      <c r="BA152" s="220"/>
      <c r="BB152" s="15"/>
      <c r="BC152" s="15"/>
      <c r="BD152" s="15"/>
      <c r="BE152" s="15"/>
      <c r="BF152" s="15"/>
      <c r="BG152" s="15"/>
    </row>
    <row r="153" spans="20:59" x14ac:dyDescent="0.25">
      <c r="T153" s="463"/>
      <c r="U153" s="107"/>
      <c r="V153" s="107"/>
      <c r="W153" s="107"/>
      <c r="Y153" s="220"/>
      <c r="Z153" s="220"/>
      <c r="AC153" s="220"/>
      <c r="AE153" s="220"/>
      <c r="AF153" s="220"/>
      <c r="AG153" s="220"/>
      <c r="AH153" s="220"/>
      <c r="AI153" s="220"/>
      <c r="AL153" s="463"/>
      <c r="AM153" s="107"/>
      <c r="AN153" s="107"/>
      <c r="AO153" s="107"/>
      <c r="AQ153" s="220"/>
      <c r="AR153" s="220"/>
      <c r="AU153" s="220"/>
      <c r="AW153" s="220"/>
      <c r="AX153" s="220"/>
      <c r="AY153" s="220"/>
      <c r="AZ153" s="220"/>
      <c r="BA153" s="220"/>
      <c r="BB153" s="15"/>
      <c r="BC153" s="15"/>
      <c r="BD153" s="15"/>
      <c r="BE153" s="15"/>
      <c r="BF153" s="15"/>
      <c r="BG153" s="15"/>
    </row>
    <row r="154" spans="20:59" x14ac:dyDescent="0.25">
      <c r="T154" s="463"/>
      <c r="U154" s="107"/>
      <c r="V154" s="107"/>
      <c r="W154" s="107"/>
      <c r="Y154" s="220"/>
      <c r="Z154" s="220"/>
      <c r="AC154" s="220"/>
      <c r="AE154" s="220"/>
      <c r="AF154" s="220"/>
      <c r="AG154" s="220"/>
      <c r="AH154" s="220"/>
      <c r="AI154" s="220"/>
      <c r="BB154" s="15"/>
      <c r="BC154" s="15"/>
      <c r="BD154" s="15"/>
      <c r="BE154" s="15"/>
      <c r="BF154" s="15"/>
      <c r="BG154" s="15"/>
    </row>
    <row r="155" spans="20:59" x14ac:dyDescent="0.25">
      <c r="AL155" s="400"/>
      <c r="AS155" s="398"/>
      <c r="AT155" s="398"/>
      <c r="AX155" s="208"/>
      <c r="BB155" s="15"/>
      <c r="BC155" s="15"/>
      <c r="BD155" s="15"/>
      <c r="BE155" s="15"/>
      <c r="BF155" s="15"/>
      <c r="BG155" s="15"/>
    </row>
    <row r="156" spans="20:59" x14ac:dyDescent="0.25">
      <c r="T156" s="463"/>
      <c r="X156" s="463"/>
      <c r="Y156" s="463"/>
      <c r="Z156" s="463"/>
      <c r="AA156" s="463"/>
      <c r="AB156" s="463"/>
      <c r="AC156" s="463"/>
      <c r="AD156" s="463"/>
      <c r="AE156" s="463"/>
      <c r="AF156" s="463"/>
      <c r="AG156" s="463"/>
      <c r="AH156" s="463"/>
      <c r="AI156" s="463"/>
      <c r="AL156" s="463"/>
      <c r="AM156" s="107"/>
      <c r="AN156" s="107"/>
      <c r="AO156" s="107"/>
      <c r="AQ156" s="220"/>
      <c r="AR156" s="220"/>
      <c r="AS156" s="220"/>
      <c r="AT156" s="220"/>
      <c r="AU156" s="220"/>
      <c r="AV156" s="220"/>
      <c r="AW156" s="220"/>
      <c r="AX156" s="220"/>
      <c r="AY156" s="220"/>
      <c r="AZ156" s="220"/>
      <c r="BA156" s="220"/>
      <c r="BB156" s="15"/>
      <c r="BC156" s="15"/>
      <c r="BD156" s="15"/>
      <c r="BE156" s="15"/>
      <c r="BF156" s="15"/>
      <c r="BG156" s="15"/>
    </row>
    <row r="157" spans="20:59" x14ac:dyDescent="0.25">
      <c r="X157" s="339"/>
      <c r="Y157" s="339"/>
      <c r="Z157" s="389"/>
      <c r="AA157" s="389"/>
      <c r="AB157" s="389"/>
      <c r="AC157" s="389"/>
      <c r="AD157" s="389"/>
      <c r="AE157" s="389"/>
      <c r="AF157" s="389"/>
      <c r="AG157" s="463"/>
      <c r="AH157" s="463"/>
      <c r="AI157" s="463"/>
      <c r="AL157" s="463"/>
      <c r="AM157" s="107"/>
      <c r="AN157" s="107"/>
      <c r="AO157" s="107"/>
      <c r="AQ157" s="220"/>
      <c r="AR157" s="220"/>
      <c r="AS157" s="220"/>
      <c r="AT157" s="220"/>
      <c r="AU157" s="220"/>
      <c r="AW157" s="220"/>
      <c r="AX157" s="220"/>
      <c r="AY157" s="220"/>
      <c r="AZ157" s="220"/>
      <c r="BA157" s="220"/>
      <c r="BB157" s="15"/>
      <c r="BC157" s="15"/>
      <c r="BD157" s="15"/>
      <c r="BE157" s="15"/>
      <c r="BF157" s="15"/>
      <c r="BG157" s="15"/>
    </row>
    <row r="158" spans="20:59" x14ac:dyDescent="0.25">
      <c r="X158" s="208"/>
      <c r="Y158" s="463"/>
      <c r="Z158" s="463"/>
      <c r="AA158" s="389"/>
      <c r="AB158" s="399"/>
      <c r="AC158" s="463"/>
      <c r="AD158" s="463"/>
      <c r="AE158" s="389"/>
      <c r="AF158" s="397"/>
      <c r="AG158" s="463"/>
      <c r="AH158" s="397"/>
      <c r="AI158" s="389"/>
      <c r="AL158" s="463"/>
      <c r="AM158" s="107"/>
      <c r="AN158" s="107"/>
      <c r="AO158" s="107"/>
      <c r="AQ158" s="220"/>
      <c r="AR158" s="220"/>
      <c r="AU158" s="220"/>
      <c r="AW158" s="220"/>
      <c r="AX158" s="220"/>
      <c r="AY158" s="220"/>
      <c r="AZ158" s="220"/>
      <c r="BA158" s="220"/>
      <c r="BB158" s="15"/>
      <c r="BC158" s="15"/>
      <c r="BD158" s="15"/>
      <c r="BE158" s="15"/>
      <c r="BF158" s="15"/>
      <c r="BG158" s="15"/>
    </row>
    <row r="159" spans="20:59" x14ac:dyDescent="0.25">
      <c r="T159" s="400"/>
      <c r="AA159" s="398"/>
      <c r="AB159" s="398"/>
      <c r="AF159" s="208"/>
      <c r="AL159" s="463"/>
      <c r="AM159" s="107"/>
      <c r="AN159" s="107"/>
      <c r="AO159" s="107"/>
      <c r="AQ159" s="220"/>
      <c r="AR159" s="220"/>
      <c r="AU159" s="220"/>
      <c r="AW159" s="220"/>
      <c r="AX159" s="220"/>
      <c r="AY159" s="220"/>
      <c r="AZ159" s="220"/>
      <c r="BA159" s="220"/>
      <c r="BB159" s="15"/>
      <c r="BC159" s="15"/>
      <c r="BD159" s="15"/>
      <c r="BE159" s="15"/>
      <c r="BF159" s="15"/>
      <c r="BG159" s="15"/>
    </row>
    <row r="160" spans="20:59" x14ac:dyDescent="0.25">
      <c r="T160" s="463"/>
      <c r="U160" s="107"/>
      <c r="V160" s="107"/>
      <c r="W160" s="107"/>
      <c r="Y160" s="220"/>
      <c r="Z160" s="220"/>
      <c r="AA160" s="220"/>
      <c r="AB160" s="220"/>
      <c r="AC160" s="220"/>
      <c r="AD160" s="220"/>
      <c r="AE160" s="220"/>
      <c r="AF160" s="220"/>
      <c r="AG160" s="220"/>
      <c r="AH160" s="220"/>
      <c r="AI160" s="220"/>
      <c r="BB160" s="15"/>
      <c r="BC160" s="15"/>
      <c r="BD160" s="15"/>
      <c r="BE160" s="15"/>
      <c r="BF160" s="15"/>
      <c r="BG160" s="15"/>
    </row>
    <row r="161" spans="20:59" x14ac:dyDescent="0.25">
      <c r="T161" s="463"/>
      <c r="U161" s="107"/>
      <c r="V161" s="107"/>
      <c r="W161" s="107"/>
      <c r="Y161" s="220"/>
      <c r="Z161" s="220"/>
      <c r="AA161" s="220"/>
      <c r="AB161" s="220"/>
      <c r="AC161" s="220"/>
      <c r="AE161" s="220"/>
      <c r="AF161" s="220"/>
      <c r="AG161" s="220"/>
      <c r="AH161" s="220"/>
      <c r="AI161" s="220"/>
      <c r="AL161" s="400"/>
      <c r="AS161" s="398"/>
      <c r="AT161" s="398"/>
      <c r="AX161" s="208"/>
      <c r="BB161" s="15"/>
      <c r="BC161" s="15"/>
      <c r="BD161" s="15"/>
      <c r="BE161" s="15"/>
      <c r="BF161" s="15"/>
      <c r="BG161" s="15"/>
    </row>
    <row r="162" spans="20:59" x14ac:dyDescent="0.25">
      <c r="T162" s="463"/>
      <c r="U162" s="107"/>
      <c r="V162" s="107"/>
      <c r="W162" s="107"/>
      <c r="Y162" s="220"/>
      <c r="Z162" s="220"/>
      <c r="AC162" s="220"/>
      <c r="AE162" s="220"/>
      <c r="AF162" s="220"/>
      <c r="AG162" s="220"/>
      <c r="AH162" s="220"/>
      <c r="AI162" s="220"/>
      <c r="AL162" s="463"/>
      <c r="AM162" s="107"/>
      <c r="AN162" s="107"/>
      <c r="AO162" s="107"/>
      <c r="AQ162" s="220"/>
      <c r="AR162" s="220"/>
      <c r="AS162" s="220"/>
      <c r="AT162" s="220"/>
      <c r="AU162" s="220"/>
      <c r="AV162" s="220"/>
      <c r="AW162" s="220"/>
      <c r="AX162" s="220"/>
      <c r="AY162" s="220"/>
      <c r="AZ162" s="220"/>
      <c r="BA162" s="220"/>
      <c r="BB162" s="15"/>
      <c r="BC162" s="15"/>
      <c r="BD162" s="15"/>
      <c r="BE162" s="15"/>
      <c r="BF162" s="15"/>
      <c r="BG162" s="15"/>
    </row>
    <row r="163" spans="20:59" x14ac:dyDescent="0.25">
      <c r="T163" s="463"/>
      <c r="U163" s="107"/>
      <c r="V163" s="107"/>
      <c r="W163" s="107"/>
      <c r="Y163" s="220"/>
      <c r="Z163" s="220"/>
      <c r="AC163" s="220"/>
      <c r="AE163" s="220"/>
      <c r="AF163" s="220"/>
      <c r="AG163" s="220"/>
      <c r="AH163" s="220"/>
      <c r="AI163" s="220"/>
      <c r="AL163" s="463"/>
      <c r="AM163" s="107"/>
      <c r="AN163" s="107"/>
      <c r="AO163" s="107"/>
      <c r="AQ163" s="220"/>
      <c r="AR163" s="220"/>
      <c r="AS163" s="220"/>
      <c r="AT163" s="220"/>
      <c r="AU163" s="220"/>
      <c r="AW163" s="220"/>
      <c r="AX163" s="220"/>
      <c r="AY163" s="220"/>
      <c r="AZ163" s="220"/>
      <c r="BA163" s="220"/>
      <c r="BB163" s="15"/>
      <c r="BC163" s="15"/>
      <c r="BD163" s="15"/>
      <c r="BE163" s="15"/>
      <c r="BF163" s="15"/>
      <c r="BG163" s="15"/>
    </row>
    <row r="164" spans="20:59" x14ac:dyDescent="0.25">
      <c r="AL164" s="463"/>
      <c r="AM164" s="107"/>
      <c r="AN164" s="107"/>
      <c r="AO164" s="107"/>
      <c r="AQ164" s="220"/>
      <c r="AR164" s="220"/>
      <c r="AU164" s="220"/>
      <c r="AW164" s="220"/>
      <c r="AX164" s="220"/>
      <c r="AY164" s="220"/>
      <c r="AZ164" s="220"/>
      <c r="BA164" s="220"/>
      <c r="BB164" s="15"/>
      <c r="BC164" s="15"/>
      <c r="BD164" s="15"/>
      <c r="BE164" s="15"/>
      <c r="BF164" s="15"/>
      <c r="BG164" s="15"/>
    </row>
    <row r="165" spans="20:59" x14ac:dyDescent="0.25">
      <c r="T165" s="400"/>
      <c r="AA165" s="398"/>
      <c r="AB165" s="398"/>
      <c r="AF165" s="208"/>
      <c r="AL165" s="463"/>
      <c r="AM165" s="107"/>
      <c r="AN165" s="107"/>
      <c r="AO165" s="107"/>
      <c r="AQ165" s="220"/>
      <c r="AR165" s="220"/>
      <c r="AU165" s="220"/>
      <c r="AW165" s="220"/>
      <c r="AX165" s="220"/>
      <c r="AY165" s="220"/>
      <c r="AZ165" s="220"/>
      <c r="BA165" s="220"/>
      <c r="BB165" s="15"/>
      <c r="BC165" s="15"/>
      <c r="BD165" s="15"/>
      <c r="BE165" s="15"/>
      <c r="BF165" s="15"/>
      <c r="BG165" s="15"/>
    </row>
    <row r="166" spans="20:59" x14ac:dyDescent="0.25">
      <c r="T166" s="463"/>
      <c r="U166" s="107"/>
      <c r="V166" s="107"/>
      <c r="W166" s="107"/>
      <c r="Y166" s="220"/>
      <c r="Z166" s="220"/>
      <c r="AA166" s="220"/>
      <c r="AB166" s="220"/>
      <c r="AC166" s="220"/>
      <c r="AD166" s="220"/>
      <c r="AE166" s="220"/>
      <c r="AF166" s="220"/>
      <c r="AG166" s="220"/>
      <c r="AH166" s="220"/>
      <c r="AI166" s="220"/>
      <c r="BB166" s="15"/>
      <c r="BC166" s="15"/>
      <c r="BD166" s="15"/>
      <c r="BE166" s="15"/>
      <c r="BF166" s="15"/>
      <c r="BG166" s="15"/>
    </row>
    <row r="167" spans="20:59" x14ac:dyDescent="0.25">
      <c r="T167" s="463"/>
      <c r="U167" s="107"/>
      <c r="V167" s="107"/>
      <c r="W167" s="107"/>
      <c r="Y167" s="220"/>
      <c r="Z167" s="220"/>
      <c r="AA167" s="220"/>
      <c r="AB167" s="220"/>
      <c r="AC167" s="220"/>
      <c r="AE167" s="220"/>
      <c r="AF167" s="220"/>
      <c r="AG167" s="220"/>
      <c r="AH167" s="220"/>
      <c r="AI167" s="220"/>
      <c r="BB167" s="15"/>
      <c r="BC167" s="15"/>
      <c r="BD167" s="15"/>
      <c r="BE167" s="15"/>
      <c r="BF167" s="15"/>
      <c r="BG167" s="15"/>
    </row>
    <row r="168" spans="20:59" x14ac:dyDescent="0.25">
      <c r="T168" s="463"/>
      <c r="U168" s="107"/>
      <c r="V168" s="107"/>
      <c r="W168" s="107"/>
      <c r="Y168" s="220"/>
      <c r="Z168" s="220"/>
      <c r="AC168" s="220"/>
      <c r="AE168" s="220"/>
      <c r="AF168" s="220"/>
      <c r="AG168" s="220"/>
      <c r="AH168" s="220"/>
      <c r="AI168" s="220"/>
      <c r="BB168" s="15"/>
      <c r="BC168" s="15"/>
      <c r="BD168" s="15"/>
      <c r="BE168" s="15"/>
      <c r="BF168" s="15"/>
      <c r="BG168" s="15"/>
    </row>
    <row r="169" spans="20:59" x14ac:dyDescent="0.25">
      <c r="T169" s="463"/>
      <c r="U169" s="107"/>
      <c r="V169" s="107"/>
      <c r="W169" s="107"/>
      <c r="Y169" s="220"/>
      <c r="Z169" s="220"/>
      <c r="AC169" s="220"/>
      <c r="AE169" s="220"/>
      <c r="AF169" s="220"/>
      <c r="AG169" s="220"/>
      <c r="AH169" s="220"/>
      <c r="AI169" s="220"/>
      <c r="BB169" s="15"/>
      <c r="BC169" s="15"/>
      <c r="BD169" s="15"/>
      <c r="BE169" s="15"/>
      <c r="BF169" s="15"/>
      <c r="BG169" s="15"/>
    </row>
    <row r="170" spans="20:59" x14ac:dyDescent="0.25">
      <c r="BB170" s="15"/>
      <c r="BC170" s="15"/>
      <c r="BD170" s="15"/>
      <c r="BE170" s="15"/>
      <c r="BF170" s="15"/>
      <c r="BG170" s="15"/>
    </row>
    <row r="171" spans="20:59" x14ac:dyDescent="0.25">
      <c r="BB171" s="15"/>
      <c r="BC171" s="15"/>
      <c r="BD171" s="15"/>
      <c r="BE171" s="15"/>
      <c r="BF171" s="15"/>
      <c r="BG171" s="15"/>
    </row>
    <row r="172" spans="20:59" x14ac:dyDescent="0.25">
      <c r="BB172" s="15"/>
      <c r="BC172" s="15"/>
      <c r="BD172" s="15"/>
      <c r="BE172" s="15"/>
      <c r="BF172" s="15"/>
      <c r="BG172" s="15"/>
    </row>
    <row r="173" spans="20:59" x14ac:dyDescent="0.25">
      <c r="BB173" s="15"/>
      <c r="BC173" s="15"/>
      <c r="BD173" s="15"/>
      <c r="BE173" s="15"/>
      <c r="BF173" s="15"/>
      <c r="BG173" s="15"/>
    </row>
    <row r="174" spans="20:59" x14ac:dyDescent="0.25">
      <c r="BB174" s="15"/>
      <c r="BC174" s="15"/>
      <c r="BD174" s="15"/>
      <c r="BE174" s="15"/>
      <c r="BF174" s="15"/>
      <c r="BG174" s="15"/>
    </row>
    <row r="175" spans="20:59" x14ac:dyDescent="0.25">
      <c r="BB175" s="15"/>
      <c r="BC175" s="15"/>
      <c r="BD175" s="15"/>
      <c r="BE175" s="15"/>
      <c r="BF175" s="15"/>
      <c r="BG175" s="15"/>
    </row>
    <row r="176" spans="20:59" x14ac:dyDescent="0.25">
      <c r="BB176" s="15"/>
      <c r="BC176" s="15"/>
      <c r="BD176" s="15"/>
      <c r="BE176" s="15"/>
      <c r="BF176" s="15"/>
      <c r="BG176" s="15"/>
    </row>
    <row r="177" spans="54:59" x14ac:dyDescent="0.25">
      <c r="BB177" s="15"/>
      <c r="BC177" s="15"/>
      <c r="BD177" s="15"/>
      <c r="BE177" s="15"/>
      <c r="BF177" s="15"/>
      <c r="BG177" s="15"/>
    </row>
    <row r="178" spans="54:59" x14ac:dyDescent="0.25">
      <c r="BB178" s="15"/>
      <c r="BC178" s="15"/>
      <c r="BD178" s="15"/>
      <c r="BE178" s="15"/>
      <c r="BF178" s="15"/>
      <c r="BG178" s="15"/>
    </row>
    <row r="179" spans="54:59" x14ac:dyDescent="0.25">
      <c r="BB179" s="15"/>
      <c r="BC179" s="15"/>
      <c r="BD179" s="15"/>
      <c r="BE179" s="15"/>
      <c r="BF179" s="15"/>
      <c r="BG179" s="15"/>
    </row>
    <row r="180" spans="54:59" x14ac:dyDescent="0.25">
      <c r="BB180" s="15"/>
      <c r="BC180" s="15"/>
      <c r="BD180" s="15"/>
      <c r="BE180" s="15"/>
      <c r="BF180" s="15"/>
      <c r="BG180" s="15"/>
    </row>
    <row r="181" spans="54:59" x14ac:dyDescent="0.25">
      <c r="BB181" s="15"/>
      <c r="BC181" s="15"/>
      <c r="BD181" s="15"/>
      <c r="BE181" s="15"/>
      <c r="BF181" s="15"/>
      <c r="BG181" s="15"/>
    </row>
    <row r="182" spans="54:59" x14ac:dyDescent="0.25">
      <c r="BB182" s="15"/>
      <c r="BC182" s="15"/>
      <c r="BD182" s="15"/>
      <c r="BE182" s="15"/>
      <c r="BF182" s="15"/>
      <c r="BG182" s="15"/>
    </row>
    <row r="183" spans="54:59" x14ac:dyDescent="0.25">
      <c r="BB183" s="15"/>
      <c r="BC183" s="15"/>
      <c r="BD183" s="15"/>
      <c r="BE183" s="15"/>
      <c r="BF183" s="15"/>
      <c r="BG183" s="15"/>
    </row>
    <row r="184" spans="54:59" x14ac:dyDescent="0.25">
      <c r="BB184" s="15"/>
      <c r="BC184" s="15"/>
      <c r="BD184" s="15"/>
      <c r="BE184" s="15"/>
      <c r="BF184" s="15"/>
      <c r="BG184" s="15"/>
    </row>
    <row r="185" spans="54:59" x14ac:dyDescent="0.25">
      <c r="BB185" s="15"/>
      <c r="BC185" s="15"/>
      <c r="BD185" s="15"/>
      <c r="BE185" s="15"/>
      <c r="BF185" s="15"/>
      <c r="BG185" s="15"/>
    </row>
    <row r="186" spans="54:59" x14ac:dyDescent="0.25">
      <c r="BB186" s="15"/>
      <c r="BC186" s="15"/>
      <c r="BD186" s="15"/>
      <c r="BE186" s="15"/>
      <c r="BF186" s="15"/>
      <c r="BG186" s="15"/>
    </row>
    <row r="187" spans="54:59" x14ac:dyDescent="0.25">
      <c r="BB187" s="15"/>
      <c r="BC187" s="15"/>
      <c r="BD187" s="15"/>
      <c r="BE187" s="15"/>
      <c r="BF187" s="15"/>
      <c r="BG187" s="15"/>
    </row>
    <row r="188" spans="54:59" x14ac:dyDescent="0.25">
      <c r="BB188" s="15"/>
      <c r="BC188" s="15"/>
      <c r="BD188" s="15"/>
      <c r="BE188" s="15"/>
      <c r="BF188" s="15"/>
      <c r="BG188" s="15"/>
    </row>
    <row r="189" spans="54:59" x14ac:dyDescent="0.25">
      <c r="BB189" s="15"/>
      <c r="BC189" s="15"/>
      <c r="BD189" s="15"/>
      <c r="BE189" s="15"/>
      <c r="BF189" s="15"/>
      <c r="BG189" s="15"/>
    </row>
    <row r="190" spans="54:59" x14ac:dyDescent="0.25">
      <c r="BB190" s="15"/>
      <c r="BC190" s="15"/>
      <c r="BD190" s="15"/>
      <c r="BE190" s="15"/>
      <c r="BF190" s="15"/>
      <c r="BG190" s="15"/>
    </row>
    <row r="191" spans="54:59" x14ac:dyDescent="0.25">
      <c r="BB191" s="15"/>
      <c r="BC191" s="15"/>
      <c r="BD191" s="15"/>
      <c r="BE191" s="15"/>
      <c r="BF191" s="15"/>
      <c r="BG191" s="15"/>
    </row>
    <row r="192" spans="54:59" x14ac:dyDescent="0.25">
      <c r="BB192" s="15"/>
      <c r="BC192" s="15"/>
      <c r="BD192" s="15"/>
      <c r="BE192" s="15"/>
      <c r="BF192" s="15"/>
      <c r="BG192" s="15"/>
    </row>
    <row r="193" spans="54:59" x14ac:dyDescent="0.25">
      <c r="BB193" s="15"/>
      <c r="BC193" s="15"/>
      <c r="BD193" s="15"/>
      <c r="BE193" s="15"/>
      <c r="BF193" s="15"/>
      <c r="BG193" s="15"/>
    </row>
    <row r="194" spans="54:59" x14ac:dyDescent="0.25">
      <c r="BB194" s="15"/>
      <c r="BC194" s="15"/>
      <c r="BD194" s="15"/>
      <c r="BE194" s="15"/>
      <c r="BF194" s="15"/>
      <c r="BG194" s="15"/>
    </row>
    <row r="195" spans="54:59" x14ac:dyDescent="0.25">
      <c r="BB195" s="15"/>
      <c r="BC195" s="15"/>
      <c r="BD195" s="15"/>
      <c r="BE195" s="15"/>
      <c r="BF195" s="15"/>
      <c r="BG195" s="15"/>
    </row>
    <row r="196" spans="54:59" x14ac:dyDescent="0.25">
      <c r="BB196" s="15"/>
      <c r="BC196" s="15"/>
      <c r="BD196" s="15"/>
      <c r="BE196" s="15"/>
      <c r="BF196" s="15"/>
      <c r="BG196" s="15"/>
    </row>
    <row r="197" spans="54:59" x14ac:dyDescent="0.25">
      <c r="BB197" s="15"/>
      <c r="BC197" s="15"/>
      <c r="BD197" s="15"/>
      <c r="BE197" s="15"/>
      <c r="BF197" s="15"/>
      <c r="BG197" s="15"/>
    </row>
    <row r="198" spans="54:59" x14ac:dyDescent="0.25">
      <c r="BB198" s="15"/>
      <c r="BC198" s="15"/>
      <c r="BD198" s="15"/>
      <c r="BE198" s="15"/>
      <c r="BF198" s="15"/>
      <c r="BG198" s="15"/>
    </row>
    <row r="199" spans="54:59" x14ac:dyDescent="0.25">
      <c r="BB199" s="15"/>
      <c r="BC199" s="15"/>
      <c r="BD199" s="15"/>
      <c r="BE199" s="15"/>
      <c r="BF199" s="15"/>
      <c r="BG199" s="15"/>
    </row>
    <row r="200" spans="54:59" x14ac:dyDescent="0.25">
      <c r="BB200" s="15"/>
      <c r="BC200" s="15"/>
      <c r="BD200" s="15"/>
      <c r="BE200" s="15"/>
      <c r="BF200" s="15"/>
      <c r="BG200" s="15"/>
    </row>
    <row r="201" spans="54:59" x14ac:dyDescent="0.25">
      <c r="BB201" s="15"/>
      <c r="BC201" s="15"/>
      <c r="BD201" s="15"/>
      <c r="BE201" s="15"/>
      <c r="BF201" s="15"/>
      <c r="BG201" s="15"/>
    </row>
    <row r="202" spans="54:59" x14ac:dyDescent="0.25">
      <c r="BB202" s="15"/>
      <c r="BC202" s="15"/>
      <c r="BD202" s="15"/>
      <c r="BE202" s="15"/>
      <c r="BF202" s="15"/>
      <c r="BG202" s="15"/>
    </row>
    <row r="203" spans="54:59" x14ac:dyDescent="0.25">
      <c r="BB203" s="15"/>
      <c r="BC203" s="15"/>
      <c r="BD203" s="15"/>
      <c r="BE203" s="15"/>
      <c r="BF203" s="15"/>
      <c r="BG203" s="15"/>
    </row>
    <row r="204" spans="54:59" x14ac:dyDescent="0.25">
      <c r="BB204" s="15"/>
      <c r="BC204" s="15"/>
      <c r="BD204" s="15"/>
      <c r="BE204" s="15"/>
      <c r="BF204" s="15"/>
      <c r="BG204" s="15"/>
    </row>
    <row r="205" spans="54:59" x14ac:dyDescent="0.25">
      <c r="BB205" s="15"/>
      <c r="BC205" s="15"/>
      <c r="BD205" s="15"/>
      <c r="BE205" s="15"/>
      <c r="BF205" s="15"/>
      <c r="BG205" s="15"/>
    </row>
    <row r="206" spans="54:59" x14ac:dyDescent="0.25">
      <c r="BB206" s="15"/>
      <c r="BC206" s="15"/>
      <c r="BD206" s="15"/>
      <c r="BE206" s="15"/>
      <c r="BF206" s="15"/>
      <c r="BG206" s="15"/>
    </row>
    <row r="207" spans="54:59" x14ac:dyDescent="0.25">
      <c r="BB207" s="15"/>
      <c r="BC207" s="15"/>
      <c r="BD207" s="15"/>
      <c r="BE207" s="15"/>
      <c r="BF207" s="15"/>
      <c r="BG207" s="15"/>
    </row>
    <row r="208" spans="54:59" x14ac:dyDescent="0.25">
      <c r="BB208" s="15"/>
      <c r="BC208" s="15"/>
      <c r="BD208" s="15"/>
      <c r="BE208" s="15"/>
      <c r="BF208" s="15"/>
      <c r="BG208" s="15"/>
    </row>
    <row r="209" spans="54:59" x14ac:dyDescent="0.25">
      <c r="BB209" s="15"/>
      <c r="BC209" s="15"/>
      <c r="BD209" s="15"/>
      <c r="BE209" s="15"/>
      <c r="BF209" s="15"/>
      <c r="BG209" s="15"/>
    </row>
    <row r="210" spans="54:59" x14ac:dyDescent="0.25">
      <c r="BB210" s="15"/>
      <c r="BC210" s="15"/>
      <c r="BD210" s="15"/>
      <c r="BE210" s="15"/>
      <c r="BF210" s="15"/>
      <c r="BG210" s="15"/>
    </row>
    <row r="211" spans="54:59" x14ac:dyDescent="0.25">
      <c r="BB211" s="15"/>
      <c r="BC211" s="15"/>
      <c r="BD211" s="15"/>
      <c r="BE211" s="15"/>
      <c r="BF211" s="15"/>
      <c r="BG211" s="15"/>
    </row>
  </sheetData>
  <mergeCells count="30">
    <mergeCell ref="AR72:AS72"/>
    <mergeCell ref="V84:W84"/>
    <mergeCell ref="X84:Y84"/>
    <mergeCell ref="AA84:AB84"/>
    <mergeCell ref="AC84:AD84"/>
    <mergeCell ref="AF84:AG84"/>
    <mergeCell ref="AH84:AI84"/>
    <mergeCell ref="AK84:AL84"/>
    <mergeCell ref="AM84:AN84"/>
    <mergeCell ref="AP84:AQ84"/>
    <mergeCell ref="AR84:AS84"/>
    <mergeCell ref="AC72:AD72"/>
    <mergeCell ref="AF72:AG72"/>
    <mergeCell ref="AH72:AI72"/>
    <mergeCell ref="AK72:AL72"/>
    <mergeCell ref="AM72:AN72"/>
    <mergeCell ref="V72:W72"/>
    <mergeCell ref="X72:Y72"/>
    <mergeCell ref="AA72:AB72"/>
    <mergeCell ref="AP60:AQ60"/>
    <mergeCell ref="AP72:AQ72"/>
    <mergeCell ref="AR60:AS60"/>
    <mergeCell ref="AH60:AI60"/>
    <mergeCell ref="AK60:AL60"/>
    <mergeCell ref="AM60:AN60"/>
    <mergeCell ref="V60:W60"/>
    <mergeCell ref="X60:Y60"/>
    <mergeCell ref="AA60:AB60"/>
    <mergeCell ref="AC60:AD60"/>
    <mergeCell ref="AF60:AG60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V21"/>
  <sheetViews>
    <sheetView topLeftCell="E1" zoomScale="80" zoomScaleNormal="80" workbookViewId="0">
      <selection activeCell="K13" sqref="K13"/>
    </sheetView>
  </sheetViews>
  <sheetFormatPr defaultRowHeight="15" x14ac:dyDescent="0.25"/>
  <cols>
    <col min="2" max="2" width="13.5703125" customWidth="1"/>
    <col min="11" max="11" width="14.7109375" customWidth="1"/>
    <col min="12" max="12" width="11.28515625" customWidth="1"/>
    <col min="13" max="13" width="12.140625" customWidth="1"/>
    <col min="17" max="17" width="12.7109375" customWidth="1"/>
    <col min="18" max="18" width="12.85546875" customWidth="1"/>
    <col min="19" max="19" width="14.140625" customWidth="1"/>
    <col min="20" max="21" width="14.28515625" customWidth="1"/>
    <col min="22" max="22" width="14.7109375" customWidth="1"/>
  </cols>
  <sheetData>
    <row r="2" spans="2:22" x14ac:dyDescent="0.25">
      <c r="B2" s="102" t="s">
        <v>215</v>
      </c>
      <c r="C2" s="183" t="s">
        <v>216</v>
      </c>
      <c r="D2" s="183" t="s">
        <v>217</v>
      </c>
      <c r="E2" s="102" t="s">
        <v>218</v>
      </c>
      <c r="F2" s="102" t="s">
        <v>219</v>
      </c>
      <c r="G2" s="102" t="s">
        <v>220</v>
      </c>
      <c r="H2" s="102" t="s">
        <v>221</v>
      </c>
      <c r="I2" s="167"/>
      <c r="J2" s="102" t="s">
        <v>225</v>
      </c>
      <c r="K2" s="102" t="s">
        <v>226</v>
      </c>
      <c r="L2" s="102" t="s">
        <v>227</v>
      </c>
      <c r="N2" s="167"/>
      <c r="O2" s="167"/>
      <c r="P2" s="167"/>
      <c r="Q2" s="539" t="s">
        <v>144</v>
      </c>
      <c r="R2" s="543" t="s">
        <v>259</v>
      </c>
      <c r="S2" s="537" t="s">
        <v>260</v>
      </c>
      <c r="T2" s="539" t="s">
        <v>261</v>
      </c>
      <c r="U2" s="538" t="s">
        <v>262</v>
      </c>
      <c r="V2" s="538" t="s">
        <v>263</v>
      </c>
    </row>
    <row r="3" spans="2:22" x14ac:dyDescent="0.25">
      <c r="B3" s="121">
        <v>7</v>
      </c>
      <c r="C3" s="165">
        <f>'Bil. Rigid 7 Ordine'!R26</f>
        <v>307.13608955306086</v>
      </c>
      <c r="D3" s="165">
        <f>'Bil. Rigid 7 Ordine'!S51</f>
        <v>306.71442007687131</v>
      </c>
      <c r="E3" s="165">
        <f>'Bil. Rigid 7 Ordine'!V50</f>
        <v>12.051854935312178</v>
      </c>
      <c r="F3" s="165">
        <f>'Bil. Rigid 7 Ordine'!W23</f>
        <v>8.2307241857709599</v>
      </c>
      <c r="G3" s="249">
        <f>'Bil. Rigid 7 Ordine'!W20</f>
        <v>8.3481213621542345</v>
      </c>
      <c r="H3" s="108">
        <f>'Bil. Rigid 7 Ordine'!V47</f>
        <v>8.3538578692957746</v>
      </c>
      <c r="I3" s="167"/>
      <c r="J3" s="121">
        <f>'Bil. Rigid 7 Ordine'!V49</f>
        <v>12.76</v>
      </c>
      <c r="K3" s="190">
        <f>'Bil. Rigid 7 Ordine'!W22</f>
        <v>9.01</v>
      </c>
      <c r="L3" s="108">
        <f>SQRT((4.89^2)+(7.06^2))</f>
        <v>8.5881138790772908</v>
      </c>
      <c r="N3" s="167"/>
      <c r="O3" s="167"/>
      <c r="P3" s="167"/>
      <c r="Q3" s="125">
        <v>7</v>
      </c>
      <c r="R3" s="249">
        <f>Periodi!F3</f>
        <v>16.480026816525683</v>
      </c>
      <c r="S3" s="105">
        <f>Periodi!E3</f>
        <v>1.6899272858694157</v>
      </c>
      <c r="T3" s="99">
        <f>S3*1.6</f>
        <v>2.7038836573910654</v>
      </c>
      <c r="U3" s="182">
        <v>3.2</v>
      </c>
      <c r="V3" s="182">
        <f>U3*1000*0.005</f>
        <v>16</v>
      </c>
    </row>
    <row r="4" spans="2:22" x14ac:dyDescent="0.25">
      <c r="B4" s="166">
        <v>6</v>
      </c>
      <c r="C4" s="107">
        <f>'Bil. Rigid. Piano tipo'!R26</f>
        <v>406.85989713978176</v>
      </c>
      <c r="D4" s="107">
        <f>'Bil. Rigid. Piano tipo'!S52</f>
        <v>382.23332061724346</v>
      </c>
      <c r="E4" s="107">
        <f>'Bil. Rigid. Piano tipo'!V51</f>
        <v>12.039878761492128</v>
      </c>
      <c r="F4" s="107">
        <f>'Bil. Rigid. Piano tipo'!W23</f>
        <v>8.740920417735035</v>
      </c>
      <c r="G4" s="107">
        <f>'Bil. Rigid. Piano tipo'!W20</f>
        <v>9.7110755834174043</v>
      </c>
      <c r="H4" s="109">
        <f>'Bil. Rigid. Piano tipo'!V48</f>
        <v>10.019026035243447</v>
      </c>
      <c r="I4" s="167"/>
      <c r="J4" s="191">
        <f>'Bil. Rigid. Piano tipo'!V50</f>
        <v>12.29</v>
      </c>
      <c r="K4" s="122">
        <f>'Bil. Rigid. Piano tipo'!W22</f>
        <v>8.44</v>
      </c>
      <c r="L4" s="109">
        <f>SQRT((4.527^2)+(6.82^2))</f>
        <v>8.1857271515730368</v>
      </c>
      <c r="N4" s="167"/>
      <c r="O4" s="167"/>
      <c r="P4" s="167"/>
      <c r="Q4" s="126">
        <v>6</v>
      </c>
      <c r="R4" s="544">
        <f>Periodi!F4</f>
        <v>14.790099530656269</v>
      </c>
      <c r="S4" s="106">
        <f>Periodi!E4</f>
        <v>2.3589416546873658</v>
      </c>
      <c r="T4" s="100">
        <f t="shared" ref="T4:T9" si="0">S4*1.6</f>
        <v>3.7743066474997855</v>
      </c>
      <c r="U4" s="542">
        <v>3.2</v>
      </c>
      <c r="V4" s="542">
        <f>U4*1000*0.005</f>
        <v>16</v>
      </c>
    </row>
    <row r="5" spans="2:22" x14ac:dyDescent="0.25">
      <c r="B5" s="166">
        <v>5</v>
      </c>
      <c r="C5" s="107">
        <f>'Bil. Rigid. Piano tipo'!R26</f>
        <v>406.85989713978176</v>
      </c>
      <c r="D5" s="107">
        <f>'Bil. Rigid. Piano tipo'!S52</f>
        <v>382.23332061724346</v>
      </c>
      <c r="E5" s="107">
        <f>'Bil. Rigid. Piano tipo'!V51</f>
        <v>12.039878761492128</v>
      </c>
      <c r="F5" s="293">
        <f>'Bil. Rigid. Piano tipo'!W23</f>
        <v>8.740920417735035</v>
      </c>
      <c r="G5" s="107">
        <f>'Bil. Rigid. Piano tipo'!W20</f>
        <v>9.7110755834174043</v>
      </c>
      <c r="H5" s="109">
        <f>'Bil. Rigid. Piano tipo'!V48</f>
        <v>10.019026035243447</v>
      </c>
      <c r="I5" s="167"/>
      <c r="J5" s="191">
        <f>'Bil. Rigid. Piano tipo'!V50</f>
        <v>12.29</v>
      </c>
      <c r="K5" s="294">
        <f>'Bil. Rigid. Piano tipo'!W22</f>
        <v>8.44</v>
      </c>
      <c r="L5" s="109">
        <f>SQRT((4.527^2)+(6.82^2))</f>
        <v>8.1857271515730368</v>
      </c>
      <c r="N5" s="167"/>
      <c r="O5" s="167"/>
      <c r="P5" s="167"/>
      <c r="Q5" s="126">
        <v>5</v>
      </c>
      <c r="R5" s="544">
        <f>Periodi!F5</f>
        <v>12.431157875968903</v>
      </c>
      <c r="S5" s="106">
        <f>Periodi!E5</f>
        <v>3.234745975667237</v>
      </c>
      <c r="T5" s="100">
        <f t="shared" si="0"/>
        <v>5.1755935610675792</v>
      </c>
      <c r="U5" s="542">
        <v>3.2</v>
      </c>
      <c r="V5" s="542">
        <f t="shared" ref="V5:V9" si="1">U5*1000*0.005</f>
        <v>16</v>
      </c>
    </row>
    <row r="6" spans="2:22" x14ac:dyDescent="0.25">
      <c r="B6" s="166">
        <v>4</v>
      </c>
      <c r="C6" s="107">
        <f>'Bil. Rigid. Ord. 3 e 4'!R26</f>
        <v>539.20327335796583</v>
      </c>
      <c r="D6" s="107">
        <f>'Bil. Rigid. Ord. 3 e 4'!S52</f>
        <v>471.76198505153775</v>
      </c>
      <c r="E6" s="107">
        <f>'Bil. Rigid. Ord. 3 e 4'!V51</f>
        <v>11.766086009404312</v>
      </c>
      <c r="F6" s="107">
        <f>'Bil. Rigid. Ord. 3 e 4'!W23</f>
        <v>8.7722354410699985</v>
      </c>
      <c r="G6" s="107">
        <f>'Bil. Rigid. Piano tipo'!W20</f>
        <v>9.7110755834174043</v>
      </c>
      <c r="H6" s="109">
        <f>'Bil. Rigid. Piano tipo'!V48</f>
        <v>10.019026035243447</v>
      </c>
      <c r="I6" s="167"/>
      <c r="J6" s="191">
        <f>'Bil. Rigid. Piano tipo'!V50</f>
        <v>12.29</v>
      </c>
      <c r="K6" s="122">
        <f>'Bil. Rigid. Piano tipo'!W22</f>
        <v>8.44</v>
      </c>
      <c r="L6" s="109">
        <f>SQRT((4.527^2)+(6.82^2))</f>
        <v>8.1857271515730368</v>
      </c>
      <c r="N6" s="167"/>
      <c r="O6" s="167"/>
      <c r="P6" s="167"/>
      <c r="Q6" s="126">
        <v>4</v>
      </c>
      <c r="R6" s="544">
        <f>Periodi!F6</f>
        <v>9.1964119003016673</v>
      </c>
      <c r="S6" s="106">
        <f>Periodi!E6</f>
        <v>3.0234034123894706</v>
      </c>
      <c r="T6" s="100">
        <f t="shared" si="0"/>
        <v>4.8374454598231535</v>
      </c>
      <c r="U6" s="542">
        <v>3.2</v>
      </c>
      <c r="V6" s="542">
        <f t="shared" si="1"/>
        <v>16</v>
      </c>
    </row>
    <row r="7" spans="2:22" x14ac:dyDescent="0.25">
      <c r="B7" s="166">
        <v>3</v>
      </c>
      <c r="C7" s="107">
        <f>'Bil. Rigid. Ord. 3 e 4'!R26</f>
        <v>539.20327335796583</v>
      </c>
      <c r="D7" s="107">
        <f>'Bil. Rigid. Ord. 3 e 4'!S52</f>
        <v>471.76198505153775</v>
      </c>
      <c r="E7" s="293">
        <f>'Bil. Rigid. Ord. 3 e 4'!V51</f>
        <v>11.766086009404312</v>
      </c>
      <c r="F7" s="107">
        <f>'Bil. Rigid. Ord. 3 e 4'!W23</f>
        <v>8.7722354410699985</v>
      </c>
      <c r="G7" s="107">
        <f>'Bil. Rigid. Piano tipo'!W20</f>
        <v>9.7110755834174043</v>
      </c>
      <c r="H7" s="109">
        <f>'Bil. Rigid. Piano tipo'!V48</f>
        <v>10.019026035243447</v>
      </c>
      <c r="I7" s="167"/>
      <c r="J7" s="360">
        <f>'Bil. Rigid. Piano tipo'!V50</f>
        <v>12.29</v>
      </c>
      <c r="K7" s="122">
        <f>'Bil. Rigid. Piano tipo'!W22</f>
        <v>8.44</v>
      </c>
      <c r="L7" s="109">
        <f>SQRT((4.527^2)+(6.82^2))</f>
        <v>8.1857271515730368</v>
      </c>
      <c r="N7" s="167"/>
      <c r="O7" s="167"/>
      <c r="P7" s="167"/>
      <c r="Q7" s="126">
        <v>3</v>
      </c>
      <c r="R7" s="544">
        <f>Periodi!F7</f>
        <v>6.1730084879121971</v>
      </c>
      <c r="S7" s="106">
        <f>Periodi!E7</f>
        <v>3.3636118492546658</v>
      </c>
      <c r="T7" s="100">
        <f t="shared" si="0"/>
        <v>5.381778958807466</v>
      </c>
      <c r="U7" s="542">
        <v>3.2</v>
      </c>
      <c r="V7" s="542">
        <f t="shared" si="1"/>
        <v>16</v>
      </c>
    </row>
    <row r="8" spans="2:22" x14ac:dyDescent="0.25">
      <c r="B8" s="123">
        <v>2</v>
      </c>
      <c r="C8" s="168">
        <f>'Bil. Rigid. 2 Ordine'!S26</f>
        <v>657.81783417572751</v>
      </c>
      <c r="D8" s="168">
        <f>'Bil. Rigid. 2 Ordine'!T51</f>
        <v>614.45778176210399</v>
      </c>
      <c r="E8" s="168">
        <f>'Bil. Rigid. 2 Ordine'!W50</f>
        <v>11.401699251440622</v>
      </c>
      <c r="F8" s="168">
        <f>'Bil. Rigid. 2 Ordine'!X21</f>
        <v>8.1025314689835941</v>
      </c>
      <c r="G8" s="168">
        <f>'Bil. Rigid. 2 Ordine'!X18</f>
        <v>9.8593287312248066</v>
      </c>
      <c r="H8" s="110">
        <f>'Bil. Rigid. 2 Ordine'!W47</f>
        <v>10.201267704217685</v>
      </c>
      <c r="I8" s="167"/>
      <c r="J8" s="123">
        <f>'Bil. Rigid. 2 Ordine'!W49</f>
        <v>12.39</v>
      </c>
      <c r="K8" s="192">
        <f>'Bil. Rigid. 2 Ordine'!X20</f>
        <v>8.48</v>
      </c>
      <c r="L8" s="110">
        <f>SQRT((4.367^2)+(6.762^2))</f>
        <v>8.0495548324115411</v>
      </c>
      <c r="N8" s="167"/>
      <c r="O8" s="167"/>
      <c r="P8" s="167"/>
      <c r="Q8" s="126">
        <v>2</v>
      </c>
      <c r="R8" s="544">
        <f>Periodi!F8</f>
        <v>2.8093966386575313</v>
      </c>
      <c r="S8" s="106">
        <f>Periodi!E8</f>
        <v>2.8093966386575313</v>
      </c>
      <c r="T8" s="100">
        <f t="shared" si="0"/>
        <v>4.4950346218520503</v>
      </c>
      <c r="U8" s="542">
        <v>3.2</v>
      </c>
      <c r="V8" s="542">
        <f t="shared" si="1"/>
        <v>16</v>
      </c>
    </row>
    <row r="9" spans="2:22" x14ac:dyDescent="0.25"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14">
        <v>1</v>
      </c>
      <c r="R9" s="168">
        <f>Periodi!F9</f>
        <v>0</v>
      </c>
      <c r="S9" s="323">
        <f>Periodi!E9</f>
        <v>0</v>
      </c>
      <c r="T9" s="114">
        <f t="shared" si="0"/>
        <v>0</v>
      </c>
      <c r="U9" s="540">
        <v>3</v>
      </c>
      <c r="V9" s="540">
        <f t="shared" si="1"/>
        <v>15</v>
      </c>
    </row>
    <row r="10" spans="2:22" x14ac:dyDescent="0.25"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</row>
    <row r="11" spans="2:22" x14ac:dyDescent="0.25"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</row>
    <row r="12" spans="2:22" x14ac:dyDescent="0.25"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</row>
    <row r="13" spans="2:22" x14ac:dyDescent="0.25"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</row>
    <row r="14" spans="2:22" x14ac:dyDescent="0.25"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</row>
    <row r="15" spans="2:22" x14ac:dyDescent="0.25"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</row>
    <row r="16" spans="2:22" x14ac:dyDescent="0.25"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</row>
    <row r="17" spans="2:22" x14ac:dyDescent="0.25"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</row>
    <row r="18" spans="2:22" x14ac:dyDescent="0.25"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</row>
    <row r="19" spans="2:22" x14ac:dyDescent="0.25"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</row>
    <row r="20" spans="2:22" x14ac:dyDescent="0.25"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292"/>
      <c r="R20" s="292"/>
      <c r="S20" s="292"/>
      <c r="T20" s="292"/>
      <c r="U20" s="292"/>
      <c r="V20" s="292"/>
    </row>
    <row r="21" spans="2:22" x14ac:dyDescent="0.25"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292"/>
      <c r="R21" s="292"/>
      <c r="S21" s="292"/>
      <c r="T21" s="292"/>
      <c r="U21" s="292"/>
      <c r="V21" s="292"/>
    </row>
  </sheetData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S267"/>
  <sheetViews>
    <sheetView zoomScale="70" zoomScaleNormal="70" workbookViewId="0">
      <selection activeCell="H21" sqref="H21"/>
    </sheetView>
  </sheetViews>
  <sheetFormatPr defaultRowHeight="15" x14ac:dyDescent="0.25"/>
  <cols>
    <col min="1" max="1" width="17.42578125" customWidth="1"/>
    <col min="2" max="2" width="9.140625" style="390"/>
    <col min="3" max="3" width="15.42578125" customWidth="1"/>
    <col min="6" max="6" width="14.140625" customWidth="1"/>
    <col min="7" max="7" width="11.7109375" style="390" customWidth="1"/>
    <col min="10" max="10" width="14.5703125" customWidth="1"/>
    <col min="11" max="11" width="12" customWidth="1"/>
    <col min="12" max="12" width="9.140625" style="390"/>
    <col min="14" max="14" width="14.85546875" customWidth="1"/>
    <col min="15" max="15" width="11.85546875" customWidth="1"/>
    <col min="17" max="17" width="9.140625" style="390"/>
    <col min="18" max="18" width="13.85546875" customWidth="1"/>
    <col min="19" max="19" width="11.5703125" customWidth="1"/>
    <col min="22" max="22" width="14.42578125" style="390" customWidth="1"/>
    <col min="23" max="23" width="12" customWidth="1"/>
    <col min="28" max="28" width="9.140625" style="409"/>
    <col min="29" max="29" width="17.42578125" style="409" customWidth="1"/>
    <col min="30" max="30" width="12.28515625" style="409" customWidth="1"/>
    <col min="31" max="31" width="15.28515625" style="409" customWidth="1"/>
    <col min="32" max="32" width="14.28515625" style="409" customWidth="1"/>
    <col min="33" max="33" width="12.42578125" style="409" customWidth="1"/>
    <col min="34" max="34" width="14" style="409" customWidth="1"/>
    <col min="35" max="35" width="11" style="409" customWidth="1"/>
    <col min="36" max="36" width="13.85546875" style="409" customWidth="1"/>
    <col min="37" max="37" width="11.140625" style="409" customWidth="1"/>
    <col min="38" max="38" width="14.85546875" style="409" customWidth="1"/>
    <col min="39" max="39" width="11.28515625" style="409" customWidth="1"/>
    <col min="40" max="40" width="13.140625" style="409" customWidth="1"/>
    <col min="41" max="41" width="11.5703125" style="409" customWidth="1"/>
    <col min="42" max="42" width="13" style="409" customWidth="1"/>
    <col min="43" max="43" width="11.140625" style="409" customWidth="1"/>
    <col min="44" max="44" width="13.42578125" style="409" customWidth="1"/>
    <col min="45" max="45" width="14.7109375" style="409" customWidth="1"/>
    <col min="46" max="46" width="15.7109375" style="409" customWidth="1"/>
    <col min="47" max="47" width="12.5703125" style="409" customWidth="1"/>
    <col min="48" max="48" width="13.28515625" style="409" customWidth="1"/>
    <col min="49" max="49" width="14.7109375" style="409" customWidth="1"/>
    <col min="50" max="50" width="13.42578125" customWidth="1"/>
    <col min="51" max="51" width="13.7109375" customWidth="1"/>
    <col min="52" max="52" width="11.140625" customWidth="1"/>
    <col min="53" max="53" width="11" customWidth="1"/>
    <col min="54" max="54" width="10.140625" customWidth="1"/>
  </cols>
  <sheetData>
    <row r="2" spans="2:52" x14ac:dyDescent="0.25">
      <c r="B2" s="409"/>
      <c r="C2" s="409"/>
      <c r="D2" s="613" t="s">
        <v>399</v>
      </c>
      <c r="E2" s="613"/>
      <c r="F2" s="613"/>
      <c r="G2" s="613"/>
      <c r="H2" s="613" t="s">
        <v>409</v>
      </c>
      <c r="I2" s="613"/>
      <c r="J2" s="613"/>
      <c r="K2" s="613"/>
      <c r="L2" s="614" t="s">
        <v>410</v>
      </c>
      <c r="M2" s="615"/>
      <c r="N2" s="615"/>
      <c r="O2" s="616"/>
      <c r="P2" s="614" t="s">
        <v>411</v>
      </c>
      <c r="Q2" s="615"/>
      <c r="R2" s="615"/>
      <c r="S2" s="616"/>
      <c r="T2" s="614" t="s">
        <v>412</v>
      </c>
      <c r="U2" s="615"/>
      <c r="V2" s="615"/>
      <c r="W2" s="616"/>
      <c r="AD2" s="416"/>
      <c r="AE2" s="416"/>
      <c r="AF2" s="613" t="s">
        <v>399</v>
      </c>
      <c r="AG2" s="613"/>
      <c r="AH2" s="613"/>
      <c r="AI2" s="613"/>
      <c r="AJ2" s="613" t="s">
        <v>409</v>
      </c>
      <c r="AK2" s="613"/>
      <c r="AL2" s="613"/>
      <c r="AM2" s="613"/>
      <c r="AN2" s="614" t="s">
        <v>410</v>
      </c>
      <c r="AO2" s="615"/>
      <c r="AP2" s="615"/>
      <c r="AQ2" s="616"/>
      <c r="AR2" s="614" t="s">
        <v>411</v>
      </c>
      <c r="AS2" s="615"/>
      <c r="AT2" s="615"/>
      <c r="AU2" s="616"/>
      <c r="AV2" s="614" t="s">
        <v>412</v>
      </c>
      <c r="AW2" s="615"/>
      <c r="AX2" s="615"/>
      <c r="AY2" s="616"/>
    </row>
    <row r="3" spans="2:52" x14ac:dyDescent="0.25">
      <c r="B3" s="338" t="s">
        <v>316</v>
      </c>
      <c r="C3" s="338" t="s">
        <v>318</v>
      </c>
      <c r="D3" s="410" t="s">
        <v>319</v>
      </c>
      <c r="E3" s="410" t="s">
        <v>0</v>
      </c>
      <c r="F3" s="410" t="s">
        <v>320</v>
      </c>
      <c r="G3" s="410" t="s">
        <v>321</v>
      </c>
      <c r="H3" s="410" t="s">
        <v>319</v>
      </c>
      <c r="I3" s="410" t="s">
        <v>0</v>
      </c>
      <c r="J3" s="410" t="s">
        <v>320</v>
      </c>
      <c r="K3" s="410" t="s">
        <v>321</v>
      </c>
      <c r="L3" s="410" t="s">
        <v>319</v>
      </c>
      <c r="M3" s="410" t="s">
        <v>0</v>
      </c>
      <c r="N3" s="410" t="s">
        <v>320</v>
      </c>
      <c r="O3" s="410" t="s">
        <v>321</v>
      </c>
      <c r="P3" s="410" t="s">
        <v>319</v>
      </c>
      <c r="Q3" s="410" t="s">
        <v>0</v>
      </c>
      <c r="R3" s="410" t="s">
        <v>320</v>
      </c>
      <c r="S3" s="410" t="s">
        <v>321</v>
      </c>
      <c r="T3" s="410" t="s">
        <v>319</v>
      </c>
      <c r="U3" s="410" t="s">
        <v>0</v>
      </c>
      <c r="V3" s="410" t="s">
        <v>320</v>
      </c>
      <c r="W3" s="410" t="s">
        <v>321</v>
      </c>
      <c r="AD3" s="338" t="s">
        <v>316</v>
      </c>
      <c r="AE3" s="338" t="s">
        <v>318</v>
      </c>
      <c r="AF3" s="417" t="s">
        <v>319</v>
      </c>
      <c r="AG3" s="417" t="s">
        <v>0</v>
      </c>
      <c r="AH3" s="417" t="s">
        <v>320</v>
      </c>
      <c r="AI3" s="417" t="s">
        <v>321</v>
      </c>
      <c r="AJ3" s="417" t="s">
        <v>319</v>
      </c>
      <c r="AK3" s="417" t="s">
        <v>0</v>
      </c>
      <c r="AL3" s="417" t="s">
        <v>320</v>
      </c>
      <c r="AM3" s="417" t="s">
        <v>321</v>
      </c>
      <c r="AN3" s="417" t="s">
        <v>319</v>
      </c>
      <c r="AO3" s="417" t="s">
        <v>0</v>
      </c>
      <c r="AP3" s="417" t="s">
        <v>320</v>
      </c>
      <c r="AQ3" s="417" t="s">
        <v>321</v>
      </c>
      <c r="AR3" s="417" t="s">
        <v>319</v>
      </c>
      <c r="AS3" s="417" t="s">
        <v>0</v>
      </c>
      <c r="AT3" s="417" t="s">
        <v>320</v>
      </c>
      <c r="AU3" s="417" t="s">
        <v>321</v>
      </c>
      <c r="AV3" s="417" t="s">
        <v>319</v>
      </c>
      <c r="AW3" s="417" t="s">
        <v>0</v>
      </c>
      <c r="AX3" s="417" t="s">
        <v>320</v>
      </c>
      <c r="AY3" s="417" t="s">
        <v>321</v>
      </c>
      <c r="AZ3" s="15"/>
    </row>
    <row r="4" spans="2:52" s="416" customFormat="1" x14ac:dyDescent="0.25">
      <c r="B4" s="421" t="s">
        <v>317</v>
      </c>
      <c r="C4" s="414" t="s">
        <v>352</v>
      </c>
      <c r="D4" s="105">
        <f>E35</f>
        <v>8.9570999999999987</v>
      </c>
      <c r="E4" s="249">
        <f>F35</f>
        <v>0</v>
      </c>
      <c r="F4" s="249">
        <f>C36</f>
        <v>12.798479999999998</v>
      </c>
      <c r="G4" s="108">
        <f>E36</f>
        <v>8.9570999999999987</v>
      </c>
      <c r="H4" s="415">
        <f>J35</f>
        <v>14.670289999999998</v>
      </c>
      <c r="I4" s="415">
        <f>K35</f>
        <v>3.6935999999999991</v>
      </c>
      <c r="J4" s="415">
        <f>H36</f>
        <v>28.305376999999996</v>
      </c>
      <c r="K4" s="415">
        <f>J36</f>
        <v>18.363889999999998</v>
      </c>
      <c r="L4" s="105">
        <f>O35</f>
        <v>15.420289999999998</v>
      </c>
      <c r="M4" s="249">
        <f>P35</f>
        <v>3.6935999999999991</v>
      </c>
      <c r="N4" s="249">
        <f>M36</f>
        <v>29.280376999999994</v>
      </c>
      <c r="O4" s="108">
        <f>O36</f>
        <v>19.113889999999998</v>
      </c>
      <c r="P4" s="415">
        <f>T35</f>
        <v>11.6028</v>
      </c>
      <c r="Q4" s="415">
        <f>U35</f>
        <v>0.3</v>
      </c>
      <c r="R4" s="415">
        <f>R36</f>
        <v>16.583640000000003</v>
      </c>
      <c r="S4" s="415">
        <f>T36</f>
        <v>11.902800000000001</v>
      </c>
      <c r="T4" s="105">
        <f>Y35</f>
        <v>11.6028</v>
      </c>
      <c r="U4" s="249">
        <f>Z35</f>
        <v>0.3</v>
      </c>
      <c r="V4" s="249">
        <f>W36</f>
        <v>16.583640000000003</v>
      </c>
      <c r="W4" s="108">
        <f>Y36</f>
        <v>11.902800000000001</v>
      </c>
      <c r="AD4" s="421" t="s">
        <v>336</v>
      </c>
      <c r="AE4" s="426" t="s">
        <v>510</v>
      </c>
      <c r="AF4" s="105">
        <f>AG59</f>
        <v>12.49</v>
      </c>
      <c r="AG4" s="249">
        <f>AH59</f>
        <v>1.05</v>
      </c>
      <c r="AH4" s="249">
        <f>AE60</f>
        <v>21.974500000000003</v>
      </c>
      <c r="AI4" s="108">
        <f>AG60</f>
        <v>13.540000000000001</v>
      </c>
      <c r="AJ4" s="105">
        <f>AL59</f>
        <v>18.343800000000002</v>
      </c>
      <c r="AK4" s="249">
        <f>AM59</f>
        <v>2.6100000000000003</v>
      </c>
      <c r="AL4" s="249">
        <f>AJ60</f>
        <v>32.996940000000002</v>
      </c>
      <c r="AM4" s="108">
        <f>AL60</f>
        <v>20.953800000000001</v>
      </c>
      <c r="AN4" s="471">
        <f>AQ59</f>
        <v>19.864919999999998</v>
      </c>
      <c r="AO4" s="471">
        <f>AR59</f>
        <v>2.73</v>
      </c>
      <c r="AP4" s="471">
        <f>AO60</f>
        <v>35.574396</v>
      </c>
      <c r="AQ4" s="471">
        <f>AQ60</f>
        <v>22.594919999999998</v>
      </c>
      <c r="AR4" s="105">
        <f>AV59</f>
        <v>16.4223</v>
      </c>
      <c r="AS4" s="249">
        <f>AW59</f>
        <v>1.05</v>
      </c>
      <c r="AT4" s="249">
        <f>AT60</f>
        <v>26.598990000000001</v>
      </c>
      <c r="AU4" s="108">
        <f>AV60</f>
        <v>17.472300000000001</v>
      </c>
      <c r="AV4" s="471">
        <f>BA59</f>
        <v>16.4223</v>
      </c>
      <c r="AW4" s="471">
        <f>BB59</f>
        <v>1.05</v>
      </c>
      <c r="AX4" s="471">
        <f>AY60</f>
        <v>26.598990000000001</v>
      </c>
      <c r="AY4" s="109">
        <f>BA60</f>
        <v>17.472300000000001</v>
      </c>
    </row>
    <row r="5" spans="2:52" x14ac:dyDescent="0.25">
      <c r="B5" s="306"/>
      <c r="C5" s="409" t="s">
        <v>353</v>
      </c>
      <c r="D5" s="106">
        <f>E59</f>
        <v>9.0812999999999988</v>
      </c>
      <c r="E5" s="107">
        <f>F59</f>
        <v>0</v>
      </c>
      <c r="F5" s="107">
        <f>C60</f>
        <v>12.63594</v>
      </c>
      <c r="G5" s="109">
        <f>E60</f>
        <v>9.0812999999999988</v>
      </c>
      <c r="H5" s="408">
        <f>J59</f>
        <v>9.3137699999999981</v>
      </c>
      <c r="I5" s="408">
        <f>K59</f>
        <v>2.6567999999999992</v>
      </c>
      <c r="J5" s="408">
        <f>H60</f>
        <v>18.749900999999998</v>
      </c>
      <c r="K5" s="408">
        <f>J60</f>
        <v>11.970569999999997</v>
      </c>
      <c r="L5" s="106">
        <f>O59</f>
        <v>9.3137699999999981</v>
      </c>
      <c r="M5" s="107">
        <f>P59</f>
        <v>2.6567999999999992</v>
      </c>
      <c r="N5" s="107">
        <f>M60</f>
        <v>18.749900999999998</v>
      </c>
      <c r="O5" s="109">
        <f>O60</f>
        <v>11.970569999999997</v>
      </c>
      <c r="P5" s="408">
        <f>T59</f>
        <v>6.6917999999999997</v>
      </c>
      <c r="Q5" s="408">
        <f>U59</f>
        <v>0.3</v>
      </c>
      <c r="R5" s="408">
        <f>R60</f>
        <v>10.199340000000001</v>
      </c>
      <c r="S5" s="408">
        <f>T60</f>
        <v>6.9917999999999996</v>
      </c>
      <c r="T5" s="106">
        <f>Y59</f>
        <v>6.6917999999999997</v>
      </c>
      <c r="U5" s="107">
        <f>Z59</f>
        <v>0.3</v>
      </c>
      <c r="V5" s="107">
        <f>W60</f>
        <v>10.199340000000001</v>
      </c>
      <c r="W5" s="109">
        <f>Y60</f>
        <v>6.9917999999999996</v>
      </c>
      <c r="AD5" s="306"/>
      <c r="AE5" s="427" t="s">
        <v>511</v>
      </c>
      <c r="AF5" s="106">
        <f>AG47</f>
        <v>12.64015</v>
      </c>
      <c r="AG5" s="471">
        <f>AH47</f>
        <v>1.05</v>
      </c>
      <c r="AH5" s="471">
        <f>AE48</f>
        <v>22.19857</v>
      </c>
      <c r="AI5" s="109">
        <f>AG48</f>
        <v>13.690150000000001</v>
      </c>
      <c r="AJ5" s="106">
        <f>AL47</f>
        <v>17.922035000000001</v>
      </c>
      <c r="AK5" s="471">
        <f>AM47</f>
        <v>2.7023999999999999</v>
      </c>
      <c r="AL5" s="471">
        <f>AJ48</f>
        <v>32.679645499999999</v>
      </c>
      <c r="AM5" s="109">
        <f>AL48</f>
        <v>20.624435000000002</v>
      </c>
      <c r="AN5" s="471">
        <f>AQ47</f>
        <v>18.672035000000001</v>
      </c>
      <c r="AO5" s="471">
        <f>AR47</f>
        <v>2.7023999999999999</v>
      </c>
      <c r="AP5" s="471">
        <f>AO48</f>
        <v>33.654645500000001</v>
      </c>
      <c r="AQ5" s="471">
        <f>AQ48</f>
        <v>21.374435000000002</v>
      </c>
      <c r="AR5" s="106">
        <f>AV47</f>
        <v>16.4223</v>
      </c>
      <c r="AS5" s="471">
        <f>AW47</f>
        <v>1.05</v>
      </c>
      <c r="AT5" s="471">
        <f>AT48</f>
        <v>26.598990000000001</v>
      </c>
      <c r="AU5" s="109">
        <f>AV48</f>
        <v>17.472300000000001</v>
      </c>
      <c r="AV5" s="471">
        <f>BA47</f>
        <v>16.4223</v>
      </c>
      <c r="AW5" s="471">
        <f>BB47</f>
        <v>1.05</v>
      </c>
      <c r="AX5" s="471">
        <f>AY48</f>
        <v>26.598990000000001</v>
      </c>
      <c r="AY5" s="109">
        <f>BA48</f>
        <v>17.472300000000001</v>
      </c>
    </row>
    <row r="6" spans="2:52" x14ac:dyDescent="0.25">
      <c r="B6" s="306"/>
      <c r="C6" s="409" t="s">
        <v>322</v>
      </c>
      <c r="D6" s="106">
        <f>E71</f>
        <v>8.0250000000000004</v>
      </c>
      <c r="E6" s="107">
        <f>F71</f>
        <v>0</v>
      </c>
      <c r="F6" s="107">
        <f>C72</f>
        <v>11.407500000000001</v>
      </c>
      <c r="G6" s="109">
        <f>E72</f>
        <v>8.0250000000000004</v>
      </c>
      <c r="H6" s="408">
        <f>J71</f>
        <v>14.267999999999999</v>
      </c>
      <c r="I6" s="408">
        <f>K71</f>
        <v>3.12</v>
      </c>
      <c r="J6" s="408">
        <f>H72</f>
        <v>26.348400000000002</v>
      </c>
      <c r="K6" s="109">
        <f>J72</f>
        <v>17.387999999999998</v>
      </c>
      <c r="L6" s="107">
        <f>O71</f>
        <v>15.017999999999999</v>
      </c>
      <c r="M6" s="107">
        <f>P71</f>
        <v>3.12</v>
      </c>
      <c r="N6" s="107">
        <f>M72</f>
        <v>27.323400000000003</v>
      </c>
      <c r="O6" s="109">
        <f>O72</f>
        <v>18.137999999999998</v>
      </c>
      <c r="P6" s="408">
        <f>T71</f>
        <v>11.6028</v>
      </c>
      <c r="Q6" s="408">
        <f>U71</f>
        <v>0.3</v>
      </c>
      <c r="R6" s="408">
        <f>R72</f>
        <v>16.583640000000003</v>
      </c>
      <c r="S6" s="408">
        <f>T72</f>
        <v>11.902800000000001</v>
      </c>
      <c r="T6" s="106">
        <f>Y71</f>
        <v>11.6028</v>
      </c>
      <c r="U6" s="107">
        <f>Z71</f>
        <v>0.3</v>
      </c>
      <c r="V6" s="107">
        <f>W72</f>
        <v>16.583640000000003</v>
      </c>
      <c r="W6" s="109">
        <f>Y72</f>
        <v>11.902800000000001</v>
      </c>
      <c r="AD6" s="123"/>
      <c r="AE6" s="474" t="s">
        <v>512</v>
      </c>
      <c r="AF6" s="323">
        <f>AG35</f>
        <v>13.290000000000001</v>
      </c>
      <c r="AG6" s="168">
        <f>AH35</f>
        <v>1.17</v>
      </c>
      <c r="AH6" s="168">
        <f>AE36</f>
        <v>23.6145</v>
      </c>
      <c r="AI6" s="110">
        <f>AG36</f>
        <v>14.46</v>
      </c>
      <c r="AJ6" s="323">
        <f>AL35</f>
        <v>19.114919999999998</v>
      </c>
      <c r="AK6" s="168">
        <f>AM35</f>
        <v>2.73</v>
      </c>
      <c r="AL6" s="168">
        <f>AJ36</f>
        <v>34.599395999999999</v>
      </c>
      <c r="AM6" s="110">
        <f>AL36</f>
        <v>21.844919999999998</v>
      </c>
      <c r="AN6" s="471">
        <f>AQ35</f>
        <v>19.864919999999998</v>
      </c>
      <c r="AO6" s="471">
        <f>AR35</f>
        <v>2.73</v>
      </c>
      <c r="AP6" s="471">
        <f>AO36</f>
        <v>35.574396</v>
      </c>
      <c r="AQ6" s="471">
        <f>AQ36</f>
        <v>22.594919999999998</v>
      </c>
      <c r="AR6" s="323">
        <f>AV35</f>
        <v>17.19342</v>
      </c>
      <c r="AS6" s="168">
        <f>AW35</f>
        <v>1.17</v>
      </c>
      <c r="AT6" s="168">
        <f>AT36</f>
        <v>28.201445999999997</v>
      </c>
      <c r="AU6" s="110">
        <f>AV36</f>
        <v>18.363419999999998</v>
      </c>
      <c r="AV6" s="415">
        <f>BA35</f>
        <v>17.19342</v>
      </c>
      <c r="AW6" s="415">
        <f>BB35</f>
        <v>1.17</v>
      </c>
      <c r="AX6" s="415">
        <f>AY36</f>
        <v>28.201445999999997</v>
      </c>
      <c r="AY6" s="109">
        <f>BA36</f>
        <v>18.363419999999998</v>
      </c>
    </row>
    <row r="7" spans="2:52" x14ac:dyDescent="0.25">
      <c r="B7" s="123"/>
      <c r="C7" s="405" t="s">
        <v>323</v>
      </c>
      <c r="D7" s="323">
        <f>E83</f>
        <v>8.0250000000000004</v>
      </c>
      <c r="E7" s="168">
        <f>F83</f>
        <v>0</v>
      </c>
      <c r="F7" s="168">
        <f>C84</f>
        <v>11.407500000000001</v>
      </c>
      <c r="G7" s="110">
        <f>E84</f>
        <v>8.0250000000000004</v>
      </c>
      <c r="H7" s="168">
        <f>J83</f>
        <v>14.267999999999999</v>
      </c>
      <c r="I7" s="168">
        <f>K83</f>
        <v>3.12</v>
      </c>
      <c r="J7" s="168">
        <f>H84</f>
        <v>26.348400000000002</v>
      </c>
      <c r="K7" s="110">
        <f>J84</f>
        <v>17.387999999999998</v>
      </c>
      <c r="L7" s="168">
        <f>O83</f>
        <v>15.017999999999999</v>
      </c>
      <c r="M7" s="168">
        <f>P83</f>
        <v>3.12</v>
      </c>
      <c r="N7" s="168">
        <f>M84</f>
        <v>27.323400000000003</v>
      </c>
      <c r="O7" s="110">
        <f>O84</f>
        <v>18.137999999999998</v>
      </c>
      <c r="P7" s="168">
        <f>T83</f>
        <v>11.6028</v>
      </c>
      <c r="Q7" s="168">
        <f>U83</f>
        <v>0.3</v>
      </c>
      <c r="R7" s="168">
        <f>R84</f>
        <v>16.583640000000003</v>
      </c>
      <c r="S7" s="110">
        <f>T84</f>
        <v>11.902800000000001</v>
      </c>
      <c r="T7" s="168">
        <f>Y83</f>
        <v>11.6028</v>
      </c>
      <c r="U7" s="168">
        <f>Z83</f>
        <v>0.3</v>
      </c>
      <c r="V7" s="168">
        <f>W84</f>
        <v>16.583640000000003</v>
      </c>
      <c r="W7" s="110">
        <f>Y84</f>
        <v>11.902800000000001</v>
      </c>
      <c r="AD7" s="421" t="s">
        <v>337</v>
      </c>
      <c r="AE7" s="426" t="s">
        <v>513</v>
      </c>
      <c r="AF7" s="105">
        <f>AG96</f>
        <v>21.215000000000003</v>
      </c>
      <c r="AG7" s="249">
        <f>AH96</f>
        <v>2.7390000000000003</v>
      </c>
      <c r="AH7" s="249">
        <f>AE97</f>
        <v>41.274500000000003</v>
      </c>
      <c r="AI7" s="108">
        <f>AG97</f>
        <v>23.954000000000004</v>
      </c>
      <c r="AJ7" s="105">
        <f>AL96</f>
        <v>21.305813999999998</v>
      </c>
      <c r="AK7" s="249">
        <f>AM96</f>
        <v>8.2170000000000005</v>
      </c>
      <c r="AL7" s="249">
        <f>AJ97</f>
        <v>49.609558200000009</v>
      </c>
      <c r="AM7" s="108">
        <f>AL97</f>
        <v>29.522813999999997</v>
      </c>
      <c r="AN7" s="105">
        <f>AQ96</f>
        <v>22.055813999999998</v>
      </c>
      <c r="AO7" s="249">
        <f>AR96</f>
        <v>8.2170000000000005</v>
      </c>
      <c r="AP7" s="249">
        <f>AO97</f>
        <v>50.584558200000004</v>
      </c>
      <c r="AQ7" s="108">
        <f>AQ97</f>
        <v>30.272813999999997</v>
      </c>
      <c r="AR7" s="105">
        <f>AV96</f>
        <v>22.055813999999998</v>
      </c>
      <c r="AS7" s="249">
        <f>AW96</f>
        <v>8.2170000000000005</v>
      </c>
      <c r="AT7" s="249">
        <f>AT97</f>
        <v>50.584558200000004</v>
      </c>
      <c r="AU7" s="108">
        <f>AV97</f>
        <v>30.272813999999997</v>
      </c>
      <c r="AV7" s="105">
        <f>BA96</f>
        <v>22.055813999999998</v>
      </c>
      <c r="AW7" s="249">
        <f>BB96</f>
        <v>8.2170000000000005</v>
      </c>
      <c r="AX7" s="249">
        <f>AY97</f>
        <v>50.584558200000004</v>
      </c>
      <c r="AY7" s="108">
        <f>BA97</f>
        <v>30.272813999999997</v>
      </c>
    </row>
    <row r="8" spans="2:52" x14ac:dyDescent="0.25">
      <c r="B8" s="420" t="s">
        <v>324</v>
      </c>
      <c r="C8" s="406" t="s">
        <v>382</v>
      </c>
      <c r="D8" s="105">
        <f>E96</f>
        <v>6.9550000000000001</v>
      </c>
      <c r="E8" s="249">
        <f>F96</f>
        <v>0.6</v>
      </c>
      <c r="F8" s="249">
        <f>C97</f>
        <v>12.041500000000001</v>
      </c>
      <c r="G8" s="108">
        <f>E97</f>
        <v>7.5549999999999997</v>
      </c>
      <c r="H8" s="107">
        <f>J96</f>
        <v>7.5605999999999991</v>
      </c>
      <c r="I8" s="107">
        <f>K96</f>
        <v>1.7999999999999998</v>
      </c>
      <c r="J8" s="107">
        <f>H97</f>
        <v>14.628779999999999</v>
      </c>
      <c r="K8" s="109">
        <f>J97</f>
        <v>9.360599999999998</v>
      </c>
      <c r="L8" s="105">
        <f>O96</f>
        <v>8.3105999999999991</v>
      </c>
      <c r="M8" s="249">
        <f>P96</f>
        <v>1.7999999999999998</v>
      </c>
      <c r="N8" s="249">
        <f>M96</f>
        <v>10.80378</v>
      </c>
      <c r="O8" s="108">
        <f>O96</f>
        <v>8.3105999999999991</v>
      </c>
      <c r="P8" s="107">
        <f>T96</f>
        <v>8.3105999999999991</v>
      </c>
      <c r="Q8" s="107">
        <f>S96</f>
        <v>4.8</v>
      </c>
      <c r="R8" s="107">
        <f>R97</f>
        <v>15.60378</v>
      </c>
      <c r="S8" s="108">
        <f>T97</f>
        <v>10.110599999999998</v>
      </c>
      <c r="T8" s="107">
        <f>Y96</f>
        <v>8.3105999999999991</v>
      </c>
      <c r="U8" s="107">
        <f>Z96</f>
        <v>1.7999999999999998</v>
      </c>
      <c r="V8" s="107">
        <f>W97</f>
        <v>15.60378</v>
      </c>
      <c r="W8" s="108">
        <f>Y97</f>
        <v>10.110599999999998</v>
      </c>
      <c r="AD8" s="306"/>
      <c r="AE8" s="427" t="s">
        <v>514</v>
      </c>
      <c r="AF8" s="106">
        <f>AG83</f>
        <v>20.385000000000005</v>
      </c>
      <c r="AG8" s="471">
        <f>AH83</f>
        <v>2.6145000000000005</v>
      </c>
      <c r="AH8" s="471">
        <f>AE84</f>
        <v>39.573000000000008</v>
      </c>
      <c r="AI8" s="109">
        <f>AG84</f>
        <v>22.999500000000005</v>
      </c>
      <c r="AJ8" s="106">
        <f>AL83</f>
        <v>20.505777000000002</v>
      </c>
      <c r="AK8" s="471">
        <f>AM83</f>
        <v>7.8435000000000006</v>
      </c>
      <c r="AL8" s="471">
        <f>AJ84</f>
        <v>47.573510100000007</v>
      </c>
      <c r="AM8" s="109">
        <f>AL84</f>
        <v>28.349277000000001</v>
      </c>
      <c r="AN8" s="106">
        <f>AQ83</f>
        <v>21.255777000000002</v>
      </c>
      <c r="AO8" s="471">
        <f>AR83</f>
        <v>7.8435000000000006</v>
      </c>
      <c r="AP8" s="471">
        <f>AO84</f>
        <v>48.548510100000001</v>
      </c>
      <c r="AQ8" s="109">
        <f>AQ84</f>
        <v>29.099277000000001</v>
      </c>
      <c r="AR8" s="106">
        <f>AV83</f>
        <v>21.255777000000002</v>
      </c>
      <c r="AS8" s="471">
        <f>AW83</f>
        <v>7.8435000000000006</v>
      </c>
      <c r="AT8" s="471">
        <f>AT84</f>
        <v>48.548510100000001</v>
      </c>
      <c r="AU8" s="109">
        <f>AV84</f>
        <v>29.099277000000001</v>
      </c>
      <c r="AV8" s="106">
        <f>BA83</f>
        <v>21.255777000000002</v>
      </c>
      <c r="AW8" s="471">
        <f>BB83</f>
        <v>7.8435000000000006</v>
      </c>
      <c r="AX8" s="471">
        <f>AY84</f>
        <v>48.548510100000001</v>
      </c>
      <c r="AY8" s="109">
        <f>BA84</f>
        <v>29.099277000000001</v>
      </c>
    </row>
    <row r="9" spans="2:52" x14ac:dyDescent="0.25">
      <c r="B9" s="306"/>
      <c r="C9" s="406" t="s">
        <v>325</v>
      </c>
      <c r="D9" s="106">
        <f>E109</f>
        <v>8.7639999999999993</v>
      </c>
      <c r="E9" s="107">
        <f>F109</f>
        <v>0.6</v>
      </c>
      <c r="F9" s="107">
        <f>C110</f>
        <v>14.3932</v>
      </c>
      <c r="G9" s="109">
        <f>E110</f>
        <v>9.363999999999999</v>
      </c>
      <c r="H9" s="107">
        <f>J109</f>
        <v>8.6196000000000002</v>
      </c>
      <c r="I9" s="107">
        <f>K109</f>
        <v>1.7999999999999998</v>
      </c>
      <c r="J9" s="107">
        <f>H110</f>
        <v>16.005480000000002</v>
      </c>
      <c r="K9" s="109">
        <f>J110</f>
        <v>10.419599999999999</v>
      </c>
      <c r="L9" s="106">
        <f>O109</f>
        <v>8.6196000000000002</v>
      </c>
      <c r="M9" s="107">
        <f>P109</f>
        <v>1.7999999999999998</v>
      </c>
      <c r="N9" s="107">
        <f>M110</f>
        <v>16.005480000000002</v>
      </c>
      <c r="O9" s="109">
        <f>O110</f>
        <v>10.419599999999999</v>
      </c>
      <c r="P9" s="107">
        <f>T109</f>
        <v>8.6196000000000002</v>
      </c>
      <c r="Q9" s="107">
        <f>U109</f>
        <v>1.7999999999999998</v>
      </c>
      <c r="R9" s="107">
        <f>R110</f>
        <v>16.005480000000002</v>
      </c>
      <c r="S9" s="109">
        <f>T110</f>
        <v>10.419599999999999</v>
      </c>
      <c r="T9" s="107">
        <f>Y109</f>
        <v>8.6196000000000002</v>
      </c>
      <c r="U9" s="107">
        <f>Z109</f>
        <v>1.7999999999999998</v>
      </c>
      <c r="V9" s="107">
        <f>W110</f>
        <v>16.005480000000002</v>
      </c>
      <c r="W9" s="109">
        <f>Y110</f>
        <v>10.419599999999999</v>
      </c>
      <c r="AD9" s="123"/>
      <c r="AE9" s="431" t="s">
        <v>515</v>
      </c>
      <c r="AF9" s="323">
        <f>AG71</f>
        <v>23.835000000000001</v>
      </c>
      <c r="AG9" s="168">
        <f>AH71</f>
        <v>3.1319999999999997</v>
      </c>
      <c r="AH9" s="168">
        <f>AE72</f>
        <v>46.645499999999998</v>
      </c>
      <c r="AI9" s="110">
        <f>AG72</f>
        <v>26.966999999999999</v>
      </c>
      <c r="AJ9" s="323">
        <f>AL71</f>
        <v>23.831231999999993</v>
      </c>
      <c r="AK9" s="168">
        <f>AM71</f>
        <v>9.395999999999999</v>
      </c>
      <c r="AL9" s="168">
        <f>AJ72</f>
        <v>56.036601599999997</v>
      </c>
      <c r="AM9" s="110">
        <f>AL72</f>
        <v>33.227231999999994</v>
      </c>
      <c r="AN9" s="323">
        <f>AQ71</f>
        <v>24.581231999999993</v>
      </c>
      <c r="AO9" s="168">
        <f>AR71</f>
        <v>9.395999999999999</v>
      </c>
      <c r="AP9" s="168">
        <f>AO72</f>
        <v>57.011601599999992</v>
      </c>
      <c r="AQ9" s="110">
        <f>AQ72</f>
        <v>33.977231999999994</v>
      </c>
      <c r="AR9" s="323">
        <f>AV71</f>
        <v>24.581231999999993</v>
      </c>
      <c r="AS9" s="168">
        <f>AW71</f>
        <v>9.395999999999999</v>
      </c>
      <c r="AT9" s="168">
        <f>AT72</f>
        <v>57.011601599999992</v>
      </c>
      <c r="AU9" s="110">
        <f>AV72</f>
        <v>33.977231999999994</v>
      </c>
      <c r="AV9" s="323">
        <f>BA71</f>
        <v>24.581231999999993</v>
      </c>
      <c r="AW9" s="168">
        <f>BB71</f>
        <v>9.395999999999999</v>
      </c>
      <c r="AX9" s="168">
        <f>AY72</f>
        <v>57.011601599999992</v>
      </c>
      <c r="AY9" s="110">
        <f>BA72</f>
        <v>33.977231999999994</v>
      </c>
    </row>
    <row r="10" spans="2:52" x14ac:dyDescent="0.25">
      <c r="B10" s="306"/>
      <c r="C10" s="409" t="s">
        <v>383</v>
      </c>
      <c r="D10" s="106">
        <f>E122</f>
        <v>18.491</v>
      </c>
      <c r="E10" s="107">
        <f>F122</f>
        <v>7.0679999999999996</v>
      </c>
      <c r="F10" s="107">
        <f>C123</f>
        <v>42.458299999999994</v>
      </c>
      <c r="G10" s="109">
        <f>E123</f>
        <v>25.558999999999997</v>
      </c>
      <c r="H10" s="106">
        <f>J122</f>
        <v>19.168799999999997</v>
      </c>
      <c r="I10" s="415">
        <f>K122</f>
        <v>7.6679999999999993</v>
      </c>
      <c r="J10" s="107">
        <f>H123</f>
        <v>44.239439999999995</v>
      </c>
      <c r="K10" s="107">
        <f>J123</f>
        <v>26.836799999999997</v>
      </c>
      <c r="L10" s="106">
        <f>O122</f>
        <v>19.918799999999997</v>
      </c>
      <c r="M10" s="107">
        <f>P122</f>
        <v>7.6679999999999993</v>
      </c>
      <c r="N10" s="107">
        <f>M123</f>
        <v>45.214439999999996</v>
      </c>
      <c r="O10" s="109">
        <f>O123</f>
        <v>27.586799999999997</v>
      </c>
      <c r="P10" s="106">
        <f>T122</f>
        <v>19.918799999999997</v>
      </c>
      <c r="Q10" s="107">
        <f>U122</f>
        <v>7.6679999999999993</v>
      </c>
      <c r="R10" s="107">
        <f>R123</f>
        <v>45.214439999999996</v>
      </c>
      <c r="S10" s="107">
        <f>T123</f>
        <v>27.586799999999997</v>
      </c>
      <c r="T10" s="106">
        <f>Y122</f>
        <v>19.918799999999997</v>
      </c>
      <c r="U10" s="107">
        <f>Z122</f>
        <v>7.6679999999999993</v>
      </c>
      <c r="V10" s="107">
        <f>W123</f>
        <v>45.214439999999996</v>
      </c>
      <c r="W10" s="109">
        <f>Y123</f>
        <v>27.586799999999997</v>
      </c>
      <c r="AD10" s="421" t="s">
        <v>338</v>
      </c>
      <c r="AE10" s="475" t="s">
        <v>516</v>
      </c>
      <c r="AF10" s="105">
        <f>AG135</f>
        <v>23.963999999999999</v>
      </c>
      <c r="AG10" s="249">
        <f>AH135</f>
        <v>2.88</v>
      </c>
      <c r="AH10" s="249">
        <f>AE136</f>
        <v>45.553200000000004</v>
      </c>
      <c r="AI10" s="108">
        <f>AG136</f>
        <v>26.843999999999998</v>
      </c>
      <c r="AJ10" s="105">
        <f>AL135</f>
        <v>23.270879999999995</v>
      </c>
      <c r="AK10" s="249">
        <f>AM135</f>
        <v>8.6399999999999988</v>
      </c>
      <c r="AL10" s="249">
        <f>AJ136</f>
        <v>53.292143999999993</v>
      </c>
      <c r="AM10" s="108">
        <f>AL136</f>
        <v>31.910879999999992</v>
      </c>
      <c r="AN10" s="105">
        <f>AQ135</f>
        <v>23.270879999999995</v>
      </c>
      <c r="AO10" s="249">
        <f>AR135</f>
        <v>8.6399999999999988</v>
      </c>
      <c r="AP10" s="249">
        <f>AO136</f>
        <v>53.292143999999993</v>
      </c>
      <c r="AQ10" s="108">
        <f>AQ136</f>
        <v>31.910879999999992</v>
      </c>
      <c r="AR10" s="105">
        <f>AV135</f>
        <v>23.270879999999995</v>
      </c>
      <c r="AS10" s="249">
        <f>AW135</f>
        <v>8.6399999999999988</v>
      </c>
      <c r="AT10" s="249">
        <f>AT136</f>
        <v>53.292143999999993</v>
      </c>
      <c r="AU10" s="108">
        <f>AV136</f>
        <v>31.910879999999992</v>
      </c>
      <c r="AV10" s="105">
        <f>BA135</f>
        <v>23.270879999999995</v>
      </c>
      <c r="AW10" s="249">
        <f>BB135</f>
        <v>8.6399999999999988</v>
      </c>
      <c r="AX10" s="249">
        <f>AY136</f>
        <v>53.292143999999993</v>
      </c>
      <c r="AY10" s="108">
        <f>BA136</f>
        <v>31.910879999999992</v>
      </c>
    </row>
    <row r="11" spans="2:52" x14ac:dyDescent="0.25">
      <c r="B11" s="306"/>
      <c r="C11" s="406" t="s">
        <v>326</v>
      </c>
      <c r="D11" s="323">
        <f>E135</f>
        <v>6.9550000000000001</v>
      </c>
      <c r="E11" s="168">
        <f>F135</f>
        <v>0.6</v>
      </c>
      <c r="F11" s="168">
        <f>C136</f>
        <v>12.041500000000001</v>
      </c>
      <c r="G11" s="110">
        <f>E136</f>
        <v>7.5549999999999997</v>
      </c>
      <c r="H11" s="106">
        <f>J135</f>
        <v>7.5605999999999991</v>
      </c>
      <c r="I11" s="415">
        <f>K135</f>
        <v>1.7999999999999998</v>
      </c>
      <c r="J11" s="107">
        <f>H136</f>
        <v>14.628779999999999</v>
      </c>
      <c r="K11" s="107">
        <f>J136</f>
        <v>9.360599999999998</v>
      </c>
      <c r="L11" s="323">
        <f>O135</f>
        <v>8.3105999999999991</v>
      </c>
      <c r="M11" s="168">
        <f>P135</f>
        <v>1.7999999999999998</v>
      </c>
      <c r="N11" s="168">
        <f>M136</f>
        <v>15.60378</v>
      </c>
      <c r="O11" s="110">
        <f>O136</f>
        <v>10.110599999999998</v>
      </c>
      <c r="P11" s="106">
        <f>T135</f>
        <v>8.3105999999999991</v>
      </c>
      <c r="Q11" s="107">
        <f>U135</f>
        <v>1.7999999999999998</v>
      </c>
      <c r="R11" s="107">
        <f>R136</f>
        <v>15.60378</v>
      </c>
      <c r="S11" s="107">
        <f>T136</f>
        <v>10.110599999999998</v>
      </c>
      <c r="T11" s="106">
        <f>Y135</f>
        <v>8.3105999999999991</v>
      </c>
      <c r="U11" s="107">
        <f>Z135</f>
        <v>1.7999999999999998</v>
      </c>
      <c r="V11" s="107">
        <f>W136</f>
        <v>15.60378</v>
      </c>
      <c r="W11" s="109">
        <f>Y136</f>
        <v>10.110599999999998</v>
      </c>
      <c r="AD11" s="306"/>
      <c r="AE11" s="473" t="s">
        <v>517</v>
      </c>
      <c r="AF11" s="106">
        <f>AG122</f>
        <v>22.155000000000001</v>
      </c>
      <c r="AG11" s="471">
        <f>AH122</f>
        <v>2.88</v>
      </c>
      <c r="AH11" s="471">
        <f>AE123</f>
        <v>43.201499999999996</v>
      </c>
      <c r="AI11" s="109">
        <f>AG123</f>
        <v>25.035</v>
      </c>
      <c r="AJ11" s="106">
        <f>AL122</f>
        <v>22.211879999999994</v>
      </c>
      <c r="AK11" s="471">
        <f>AM122</f>
        <v>8.6399999999999988</v>
      </c>
      <c r="AL11" s="471">
        <f>AJ123</f>
        <v>51.915443999999994</v>
      </c>
      <c r="AM11" s="109">
        <f>AL123</f>
        <v>30.851879999999994</v>
      </c>
      <c r="AN11" s="106">
        <f>AQ122</f>
        <v>22.961879999999994</v>
      </c>
      <c r="AO11" s="471">
        <f>AR122</f>
        <v>8.6399999999999988</v>
      </c>
      <c r="AP11" s="471">
        <f>AO123</f>
        <v>52.890443999999995</v>
      </c>
      <c r="AQ11" s="109">
        <f>AQ123</f>
        <v>31.601879999999994</v>
      </c>
      <c r="AR11" s="106">
        <f>AV122</f>
        <v>22.961879999999994</v>
      </c>
      <c r="AS11" s="471">
        <f>AW122</f>
        <v>8.6399999999999988</v>
      </c>
      <c r="AT11" s="471">
        <f>AT123</f>
        <v>52.890443999999995</v>
      </c>
      <c r="AU11" s="109">
        <f>AV123</f>
        <v>31.601879999999994</v>
      </c>
      <c r="AV11" s="106">
        <f>BA122</f>
        <v>22.961879999999994</v>
      </c>
      <c r="AW11" s="471">
        <f>BB122</f>
        <v>8.6399999999999988</v>
      </c>
      <c r="AX11" s="471">
        <f>AY123</f>
        <v>52.890443999999995</v>
      </c>
      <c r="AY11" s="109">
        <f>BA123</f>
        <v>31.601879999999994</v>
      </c>
    </row>
    <row r="12" spans="2:52" x14ac:dyDescent="0.25">
      <c r="B12" s="421" t="s">
        <v>327</v>
      </c>
      <c r="C12" s="343" t="s">
        <v>384</v>
      </c>
      <c r="D12" s="106">
        <f>E161</f>
        <v>6.9550000000000001</v>
      </c>
      <c r="E12" s="107">
        <f>F161</f>
        <v>0.6</v>
      </c>
      <c r="F12" s="107">
        <f>C162</f>
        <v>12.041500000000001</v>
      </c>
      <c r="G12" s="107">
        <f>E162</f>
        <v>7.5549999999999997</v>
      </c>
      <c r="H12" s="105">
        <f>J161</f>
        <v>7.5605999999999991</v>
      </c>
      <c r="I12" s="249">
        <f>K161</f>
        <v>1.7999999999999998</v>
      </c>
      <c r="J12" s="249">
        <f>H162</f>
        <v>14.628779999999999</v>
      </c>
      <c r="K12" s="108">
        <f>J162</f>
        <v>9.360599999999998</v>
      </c>
      <c r="L12" s="106">
        <f>O161</f>
        <v>8.3105999999999991</v>
      </c>
      <c r="M12" s="107">
        <f>P161</f>
        <v>1.7999999999999998</v>
      </c>
      <c r="N12" s="107">
        <f>M162</f>
        <v>15.60378</v>
      </c>
      <c r="O12" s="107">
        <f>O162</f>
        <v>10.110599999999998</v>
      </c>
      <c r="P12" s="105">
        <f>T161</f>
        <v>8.3105999999999991</v>
      </c>
      <c r="Q12" s="249">
        <f>U161</f>
        <v>1.7999999999999998</v>
      </c>
      <c r="R12" s="249">
        <f>R162</f>
        <v>15.60378</v>
      </c>
      <c r="S12" s="108">
        <f>T162</f>
        <v>10.110599999999998</v>
      </c>
      <c r="T12" s="105">
        <f>Y161</f>
        <v>8.3105999999999991</v>
      </c>
      <c r="U12" s="249">
        <f>Z161</f>
        <v>1.7999999999999998</v>
      </c>
      <c r="V12" s="249">
        <f>W162</f>
        <v>15.60378</v>
      </c>
      <c r="W12" s="108">
        <f>Y162</f>
        <v>10.110599999999998</v>
      </c>
      <c r="AD12" s="123"/>
      <c r="AE12" s="476" t="s">
        <v>518</v>
      </c>
      <c r="AF12" s="323">
        <f>AG109</f>
        <v>15.09</v>
      </c>
      <c r="AG12" s="168">
        <f>AH109</f>
        <v>1.44</v>
      </c>
      <c r="AH12" s="168">
        <f>AE110</f>
        <v>27.304500000000001</v>
      </c>
      <c r="AI12" s="110">
        <f>AG110</f>
        <v>16.53</v>
      </c>
      <c r="AJ12" s="323">
        <f>AL109</f>
        <v>20.849939999999997</v>
      </c>
      <c r="AK12" s="168">
        <f>AM109</f>
        <v>3</v>
      </c>
      <c r="AL12" s="168">
        <f>AJ110</f>
        <v>38.204921999999996</v>
      </c>
      <c r="AM12" s="110">
        <f>AL110</f>
        <v>23.849939999999997</v>
      </c>
      <c r="AN12" s="323">
        <f>AQ109</f>
        <v>21.599939999999997</v>
      </c>
      <c r="AO12" s="168">
        <f>AR109</f>
        <v>3</v>
      </c>
      <c r="AP12" s="168">
        <f>AO110</f>
        <v>39.179921999999998</v>
      </c>
      <c r="AQ12" s="110">
        <f>AQ110</f>
        <v>24.599939999999997</v>
      </c>
      <c r="AR12" s="323">
        <f>AV109</f>
        <v>18.928439999999998</v>
      </c>
      <c r="AS12" s="168">
        <f>AW109</f>
        <v>1.44</v>
      </c>
      <c r="AT12" s="168">
        <f>AT110</f>
        <v>31.806971999999998</v>
      </c>
      <c r="AU12" s="110">
        <f>AV110</f>
        <v>20.36844</v>
      </c>
      <c r="AV12" s="323">
        <f>BA109</f>
        <v>18.928439999999998</v>
      </c>
      <c r="AW12" s="168">
        <f>BB109</f>
        <v>1.44</v>
      </c>
      <c r="AX12" s="168">
        <f>AY110</f>
        <v>31.806971999999998</v>
      </c>
      <c r="AY12" s="110">
        <f>BA110</f>
        <v>20.36844</v>
      </c>
    </row>
    <row r="13" spans="2:52" x14ac:dyDescent="0.25">
      <c r="B13" s="306"/>
      <c r="C13" s="406" t="s">
        <v>328</v>
      </c>
      <c r="D13" s="106">
        <f>E174</f>
        <v>8.7639999999999993</v>
      </c>
      <c r="E13" s="107">
        <f>F174</f>
        <v>0.6</v>
      </c>
      <c r="F13" s="107">
        <f>C175</f>
        <v>14.3932</v>
      </c>
      <c r="G13" s="107">
        <f>E175</f>
        <v>9.363999999999999</v>
      </c>
      <c r="H13" s="106">
        <f>J174</f>
        <v>8.6196000000000002</v>
      </c>
      <c r="I13" s="107">
        <f>K174</f>
        <v>1.7999999999999998</v>
      </c>
      <c r="J13" s="107">
        <f>H175</f>
        <v>16.005480000000002</v>
      </c>
      <c r="K13" s="109">
        <f>J175</f>
        <v>10.419599999999999</v>
      </c>
      <c r="L13" s="106">
        <f>O174</f>
        <v>8.6196000000000002</v>
      </c>
      <c r="M13" s="107">
        <f>P174</f>
        <v>1.7999999999999998</v>
      </c>
      <c r="N13" s="107">
        <f>M175</f>
        <v>16.005480000000002</v>
      </c>
      <c r="O13" s="107">
        <f>O175</f>
        <v>10.419599999999999</v>
      </c>
      <c r="P13" s="106">
        <f>T174</f>
        <v>8.6196000000000002</v>
      </c>
      <c r="Q13" s="107">
        <f>U174</f>
        <v>1.7999999999999998</v>
      </c>
      <c r="R13" s="107">
        <f>R175</f>
        <v>16.005480000000002</v>
      </c>
      <c r="S13" s="109">
        <f>T175</f>
        <v>10.419599999999999</v>
      </c>
      <c r="T13" s="106">
        <f>Y174</f>
        <v>8.6196000000000002</v>
      </c>
      <c r="U13" s="107">
        <f>Z174</f>
        <v>1.7999999999999998</v>
      </c>
      <c r="V13" s="107">
        <f>W175</f>
        <v>16.005480000000002</v>
      </c>
      <c r="W13" s="109">
        <f>Y175</f>
        <v>10.419599999999999</v>
      </c>
      <c r="AD13" s="421" t="s">
        <v>339</v>
      </c>
      <c r="AE13" s="426" t="s">
        <v>519</v>
      </c>
      <c r="AF13" s="105">
        <f>AG174</f>
        <v>24.763999999999999</v>
      </c>
      <c r="AG13" s="249">
        <f>AH174</f>
        <v>3</v>
      </c>
      <c r="AH13" s="249">
        <f>AE175</f>
        <v>47.193200000000004</v>
      </c>
      <c r="AI13" s="108">
        <f>AG175</f>
        <v>27.763999999999999</v>
      </c>
      <c r="AJ13" s="105">
        <f>AL174</f>
        <v>24.041999999999998</v>
      </c>
      <c r="AK13" s="249">
        <f>AM174</f>
        <v>9</v>
      </c>
      <c r="AL13" s="249">
        <f>AJ175</f>
        <v>55.254599999999996</v>
      </c>
      <c r="AM13" s="108">
        <f>AL175</f>
        <v>33.042000000000002</v>
      </c>
      <c r="AN13" s="105">
        <f>AQ174</f>
        <v>24.041999999999998</v>
      </c>
      <c r="AO13" s="249">
        <f>AR174</f>
        <v>9</v>
      </c>
      <c r="AP13" s="249">
        <f>AO175</f>
        <v>55.254599999999996</v>
      </c>
      <c r="AQ13" s="108">
        <f>AQ175</f>
        <v>33.042000000000002</v>
      </c>
      <c r="AR13" s="105">
        <f>AV174</f>
        <v>24.041999999999998</v>
      </c>
      <c r="AS13" s="249">
        <f>AW174</f>
        <v>9</v>
      </c>
      <c r="AT13" s="249">
        <f>AT175</f>
        <v>55.254599999999996</v>
      </c>
      <c r="AU13" s="108">
        <f>AV175</f>
        <v>33.042000000000002</v>
      </c>
      <c r="AV13" s="105">
        <f>BA174</f>
        <v>24.041999999999998</v>
      </c>
      <c r="AW13" s="249">
        <f>BB174</f>
        <v>9</v>
      </c>
      <c r="AX13" s="249">
        <f>AY175</f>
        <v>55.254599999999996</v>
      </c>
      <c r="AY13" s="108">
        <f>BA175</f>
        <v>33.042000000000002</v>
      </c>
    </row>
    <row r="14" spans="2:52" x14ac:dyDescent="0.25">
      <c r="B14" s="306"/>
      <c r="C14" s="406" t="s">
        <v>329</v>
      </c>
      <c r="D14" s="106">
        <f>E187</f>
        <v>19.305</v>
      </c>
      <c r="E14" s="107">
        <f>F187</f>
        <v>5.64</v>
      </c>
      <c r="F14" s="107">
        <f>C188</f>
        <v>40.171500000000002</v>
      </c>
      <c r="G14" s="107">
        <f>E188</f>
        <v>24.945</v>
      </c>
      <c r="H14" s="323">
        <f>J187</f>
        <v>24.967999999999996</v>
      </c>
      <c r="I14" s="168">
        <f>K187</f>
        <v>8.76</v>
      </c>
      <c r="J14" s="168">
        <f>H188</f>
        <v>54.358400000000003</v>
      </c>
      <c r="K14" s="110">
        <f>J188</f>
        <v>33.727999999999994</v>
      </c>
      <c r="L14" s="106">
        <f>O187</f>
        <v>25.717999999999996</v>
      </c>
      <c r="M14" s="107">
        <f>P187</f>
        <v>8.76</v>
      </c>
      <c r="N14" s="107">
        <f>M188</f>
        <v>55.333399999999997</v>
      </c>
      <c r="O14" s="107">
        <f>O188</f>
        <v>34.477999999999994</v>
      </c>
      <c r="P14" s="323">
        <f>T187</f>
        <v>22.882799999999996</v>
      </c>
      <c r="Q14" s="168">
        <f>U187</f>
        <v>5.9399999999999995</v>
      </c>
      <c r="R14" s="168">
        <f>R188</f>
        <v>45.347639999999998</v>
      </c>
      <c r="S14" s="110">
        <f>T188</f>
        <v>28.822799999999994</v>
      </c>
      <c r="T14" s="323">
        <f>Y187</f>
        <v>22.882799999999996</v>
      </c>
      <c r="U14" s="168">
        <f>Z187</f>
        <v>5.9399999999999995</v>
      </c>
      <c r="V14" s="168">
        <f>W188</f>
        <v>45.347639999999998</v>
      </c>
      <c r="W14" s="110">
        <f>Y188</f>
        <v>28.822799999999994</v>
      </c>
      <c r="AD14" s="306"/>
      <c r="AE14" s="427" t="s">
        <v>520</v>
      </c>
      <c r="AF14" s="106">
        <f>AG161</f>
        <v>22.954999999999998</v>
      </c>
      <c r="AG14" s="471">
        <f>AH161</f>
        <v>3</v>
      </c>
      <c r="AH14" s="471">
        <f>AE162</f>
        <v>44.841499999999996</v>
      </c>
      <c r="AI14" s="109">
        <f>AG162</f>
        <v>25.954999999999998</v>
      </c>
      <c r="AJ14" s="106">
        <f>AL161</f>
        <v>22.982999999999997</v>
      </c>
      <c r="AK14" s="471">
        <f>AM161</f>
        <v>9</v>
      </c>
      <c r="AL14" s="471">
        <f>AJ162</f>
        <v>53.877899999999997</v>
      </c>
      <c r="AM14" s="109">
        <f>AL162</f>
        <v>31.982999999999997</v>
      </c>
      <c r="AN14" s="106">
        <f>AQ161</f>
        <v>23.732999999999997</v>
      </c>
      <c r="AO14" s="471">
        <f>AR161</f>
        <v>9</v>
      </c>
      <c r="AP14" s="471">
        <f>AO162</f>
        <v>54.852899999999998</v>
      </c>
      <c r="AQ14" s="109">
        <f>AQ162</f>
        <v>32.732999999999997</v>
      </c>
      <c r="AR14" s="106">
        <f>AV161</f>
        <v>23.732999999999997</v>
      </c>
      <c r="AS14" s="471">
        <f>AW161</f>
        <v>9</v>
      </c>
      <c r="AT14" s="471">
        <f>AT162</f>
        <v>54.852899999999998</v>
      </c>
      <c r="AU14" s="109">
        <f>AV162</f>
        <v>32.732999999999997</v>
      </c>
      <c r="AV14" s="106">
        <f>BA161</f>
        <v>23.732999999999997</v>
      </c>
      <c r="AW14" s="471">
        <f>BB161</f>
        <v>9</v>
      </c>
      <c r="AX14" s="471">
        <f>AY162</f>
        <v>54.852899999999998</v>
      </c>
      <c r="AY14" s="109">
        <f>BA162</f>
        <v>32.732999999999997</v>
      </c>
    </row>
    <row r="15" spans="2:52" x14ac:dyDescent="0.25">
      <c r="B15" s="421" t="s">
        <v>330</v>
      </c>
      <c r="C15" s="407" t="s">
        <v>331</v>
      </c>
      <c r="D15" s="105">
        <f>E227</f>
        <v>8.0250000000000004</v>
      </c>
      <c r="E15" s="249">
        <f>F227</f>
        <v>0</v>
      </c>
      <c r="F15" s="249">
        <f>C228</f>
        <v>11.407500000000001</v>
      </c>
      <c r="G15" s="108">
        <f>E228</f>
        <v>8.0250000000000004</v>
      </c>
      <c r="H15" s="106">
        <f>J227</f>
        <v>14.267999999999999</v>
      </c>
      <c r="I15" s="415">
        <f>K227</f>
        <v>3.12</v>
      </c>
      <c r="J15" s="107">
        <f>H228</f>
        <v>26.348400000000002</v>
      </c>
      <c r="K15" s="107">
        <f>J228</f>
        <v>17.387999999999998</v>
      </c>
      <c r="L15" s="105">
        <f>O227</f>
        <v>15.017999999999999</v>
      </c>
      <c r="M15" s="249">
        <f>P227</f>
        <v>3.12</v>
      </c>
      <c r="N15" s="249">
        <f>M228</f>
        <v>27.323400000000003</v>
      </c>
      <c r="O15" s="108">
        <f>O228</f>
        <v>18.137999999999998</v>
      </c>
      <c r="P15" s="106">
        <f>T227</f>
        <v>11.6028</v>
      </c>
      <c r="Q15" s="107">
        <f>U227</f>
        <v>0.3</v>
      </c>
      <c r="R15" s="107">
        <f>R228</f>
        <v>16.583640000000003</v>
      </c>
      <c r="S15" s="107">
        <f>T228</f>
        <v>11.902800000000001</v>
      </c>
      <c r="T15" s="106">
        <f>Y227</f>
        <v>11.6028</v>
      </c>
      <c r="U15" s="107">
        <f>Z227</f>
        <v>0.3</v>
      </c>
      <c r="V15" s="107">
        <f>W228</f>
        <v>16.583640000000003</v>
      </c>
      <c r="W15" s="109">
        <f>Y228</f>
        <v>11.902800000000001</v>
      </c>
      <c r="AD15" s="123"/>
      <c r="AE15" s="431" t="s">
        <v>521</v>
      </c>
      <c r="AF15" s="323">
        <f>AG148</f>
        <v>15.89</v>
      </c>
      <c r="AG15" s="168">
        <f>AH148</f>
        <v>1.56</v>
      </c>
      <c r="AH15" s="168">
        <f>AE149</f>
        <v>28.944500000000001</v>
      </c>
      <c r="AI15" s="110">
        <f>AG149</f>
        <v>17.45</v>
      </c>
      <c r="AJ15" s="323">
        <f>AL148</f>
        <v>21.62106</v>
      </c>
      <c r="AK15" s="168">
        <f>AM148</f>
        <v>3.12</v>
      </c>
      <c r="AL15" s="168">
        <f>AJ149</f>
        <v>39.807378</v>
      </c>
      <c r="AM15" s="110">
        <f>AL149</f>
        <v>24.741060000000001</v>
      </c>
      <c r="AN15" s="323">
        <f>AQ148</f>
        <v>22.37106</v>
      </c>
      <c r="AO15" s="168">
        <f>AR148</f>
        <v>3.12</v>
      </c>
      <c r="AP15" s="168">
        <f>AO149</f>
        <v>40.782378000000001</v>
      </c>
      <c r="AQ15" s="110">
        <f>AQ149</f>
        <v>25.491060000000001</v>
      </c>
      <c r="AR15" s="323">
        <f>AV148</f>
        <v>19.699559999999998</v>
      </c>
      <c r="AS15" s="168">
        <f>AW148</f>
        <v>1.56</v>
      </c>
      <c r="AT15" s="168">
        <f>AT149</f>
        <v>33.409428000000005</v>
      </c>
      <c r="AU15" s="110">
        <f>AV149</f>
        <v>21.259559999999997</v>
      </c>
      <c r="AV15" s="323">
        <f>BA148</f>
        <v>19.699559999999998</v>
      </c>
      <c r="AW15" s="168">
        <f>BB148</f>
        <v>1.56</v>
      </c>
      <c r="AX15" s="168">
        <f>AY149</f>
        <v>33.409428000000005</v>
      </c>
      <c r="AY15" s="110">
        <f>BA149</f>
        <v>21.259559999999997</v>
      </c>
    </row>
    <row r="16" spans="2:52" x14ac:dyDescent="0.25">
      <c r="B16" s="123"/>
      <c r="C16" s="405" t="s">
        <v>332</v>
      </c>
      <c r="D16" s="323">
        <f>E240</f>
        <v>7.2722999999999987</v>
      </c>
      <c r="E16" s="168">
        <f>F240</f>
        <v>0</v>
      </c>
      <c r="F16" s="168">
        <f>C241</f>
        <v>10.284239999999999</v>
      </c>
      <c r="G16" s="110">
        <f>E241</f>
        <v>7.2722999999999987</v>
      </c>
      <c r="H16" s="106">
        <f>J240</f>
        <v>12.894769999999999</v>
      </c>
      <c r="I16" s="415">
        <f>K240</f>
        <v>2.6567999999999992</v>
      </c>
      <c r="J16" s="107">
        <f>H241</f>
        <v>23.405200999999998</v>
      </c>
      <c r="K16" s="107">
        <f>J241</f>
        <v>15.551569999999998</v>
      </c>
      <c r="L16" s="323">
        <f>O240</f>
        <v>13.644769999999999</v>
      </c>
      <c r="M16" s="168">
        <f>P240</f>
        <v>2.6567999999999992</v>
      </c>
      <c r="N16" s="168">
        <f>M241</f>
        <v>24.380200999999996</v>
      </c>
      <c r="O16" s="110">
        <f>O241</f>
        <v>16.301569999999998</v>
      </c>
      <c r="P16" s="106">
        <f>T240</f>
        <v>11.6028</v>
      </c>
      <c r="Q16" s="107">
        <f>U240</f>
        <v>0.3</v>
      </c>
      <c r="R16" s="107">
        <f>R241</f>
        <v>16.583640000000003</v>
      </c>
      <c r="S16" s="107">
        <f>T241</f>
        <v>11.902800000000001</v>
      </c>
      <c r="T16" s="106">
        <f>Y240</f>
        <v>11.6028</v>
      </c>
      <c r="U16" s="107">
        <f>Z240</f>
        <v>0.3</v>
      </c>
      <c r="V16" s="107">
        <f>W241</f>
        <v>16.583640000000003</v>
      </c>
      <c r="W16" s="109">
        <f>Y241</f>
        <v>11.902800000000001</v>
      </c>
      <c r="AD16" s="421" t="s">
        <v>340</v>
      </c>
      <c r="AE16" s="426" t="s">
        <v>522</v>
      </c>
      <c r="AF16" s="105">
        <f>AG213</f>
        <v>22.975000000000001</v>
      </c>
      <c r="AG16" s="249">
        <f>AH213</f>
        <v>3.0029999999999997</v>
      </c>
      <c r="AH16" s="249">
        <f>AE214</f>
        <v>44.8825</v>
      </c>
      <c r="AI16" s="108">
        <f>AG214</f>
        <v>25.978000000000002</v>
      </c>
      <c r="AJ16" s="105">
        <f>AL213</f>
        <v>23.002277999999997</v>
      </c>
      <c r="AK16" s="249">
        <f>AM213</f>
        <v>9.0089999999999986</v>
      </c>
      <c r="AL16" s="249">
        <f>AJ214</f>
        <v>53.926961399999996</v>
      </c>
      <c r="AM16" s="108">
        <f>AL214</f>
        <v>32.011277999999997</v>
      </c>
      <c r="AN16" s="105">
        <f>AQ213</f>
        <v>23.752277999999997</v>
      </c>
      <c r="AO16" s="249">
        <f>AR213</f>
        <v>9.0089999999999986</v>
      </c>
      <c r="AP16" s="249">
        <f>AO214</f>
        <v>54.90196139999999</v>
      </c>
      <c r="AQ16" s="108">
        <f>AQ214</f>
        <v>32.761277999999997</v>
      </c>
      <c r="AR16" s="105">
        <f>AV213</f>
        <v>23.752277999999997</v>
      </c>
      <c r="AS16" s="249">
        <f>AW213</f>
        <v>9.0089999999999986</v>
      </c>
      <c r="AT16" s="249">
        <f>AT214</f>
        <v>54.90196139999999</v>
      </c>
      <c r="AU16" s="108">
        <f>AV214</f>
        <v>32.761277999999997</v>
      </c>
      <c r="AV16" s="105">
        <f>BA213</f>
        <v>23.752277999999997</v>
      </c>
      <c r="AW16" s="249">
        <f>BB213</f>
        <v>9.0089999999999986</v>
      </c>
      <c r="AX16" s="249">
        <f>AY214</f>
        <v>54.90196139999999</v>
      </c>
      <c r="AY16" s="108">
        <f>BA214</f>
        <v>32.761277999999997</v>
      </c>
    </row>
    <row r="17" spans="1:54" x14ac:dyDescent="0.25">
      <c r="B17" s="420" t="s">
        <v>333</v>
      </c>
      <c r="C17" s="406" t="s">
        <v>334</v>
      </c>
      <c r="D17" s="106">
        <f>E253</f>
        <v>6.9563999999999995</v>
      </c>
      <c r="E17" s="107">
        <f>F253</f>
        <v>0</v>
      </c>
      <c r="F17" s="107">
        <f>C254</f>
        <v>9.8128199999999985</v>
      </c>
      <c r="G17" s="107">
        <f>E254</f>
        <v>6.9563999999999995</v>
      </c>
      <c r="H17" s="105">
        <f>J253</f>
        <v>12.561859999999999</v>
      </c>
      <c r="I17" s="249">
        <f>K253</f>
        <v>2.4623999999999993</v>
      </c>
      <c r="J17" s="249">
        <f>H254</f>
        <v>22.486417999999997</v>
      </c>
      <c r="K17" s="108">
        <f>J254</f>
        <v>15.024259999999998</v>
      </c>
      <c r="L17" s="106">
        <f>O253</f>
        <v>13.311859999999999</v>
      </c>
      <c r="M17" s="107">
        <f>P253</f>
        <v>2.4623999999999993</v>
      </c>
      <c r="N17" s="107">
        <f>M254</f>
        <v>23.461417999999998</v>
      </c>
      <c r="O17" s="107">
        <f>O254</f>
        <v>15.774259999999998</v>
      </c>
      <c r="P17" s="105">
        <f>T253</f>
        <v>11.6028</v>
      </c>
      <c r="Q17" s="249">
        <f>U253</f>
        <v>0.3</v>
      </c>
      <c r="R17" s="249">
        <f>R254</f>
        <v>16.583640000000003</v>
      </c>
      <c r="S17" s="108">
        <f>T254</f>
        <v>11.902800000000001</v>
      </c>
      <c r="T17" s="105">
        <f>Y253</f>
        <v>11.6028</v>
      </c>
      <c r="U17" s="249">
        <f>Z253</f>
        <v>0.3</v>
      </c>
      <c r="V17" s="249">
        <f>W254</f>
        <v>16.583640000000003</v>
      </c>
      <c r="W17" s="108">
        <f>Y254</f>
        <v>11.902800000000001</v>
      </c>
      <c r="AD17" s="306"/>
      <c r="AE17" s="432" t="s">
        <v>523</v>
      </c>
      <c r="AF17" s="106">
        <f>AG200</f>
        <v>23.033999999999999</v>
      </c>
      <c r="AG17" s="471">
        <f>AH200</f>
        <v>2.7404999999999999</v>
      </c>
      <c r="AH17" s="471">
        <f>AE201</f>
        <v>43.646700000000003</v>
      </c>
      <c r="AI17" s="109">
        <f>AG201</f>
        <v>25.7745</v>
      </c>
      <c r="AJ17" s="106">
        <f>AL200</f>
        <v>22.374452999999995</v>
      </c>
      <c r="AK17" s="471">
        <f>AM200</f>
        <v>8.2214999999999989</v>
      </c>
      <c r="AL17" s="471">
        <f>AJ201</f>
        <v>51.010788899999994</v>
      </c>
      <c r="AM17" s="109">
        <f>AL201</f>
        <v>30.595952999999994</v>
      </c>
      <c r="AN17" s="106">
        <f>AQ200</f>
        <v>22.374452999999995</v>
      </c>
      <c r="AO17" s="471">
        <f>AR200</f>
        <v>8.2214999999999989</v>
      </c>
      <c r="AP17" s="471">
        <f>AO201</f>
        <v>51.010788899999994</v>
      </c>
      <c r="AQ17" s="109">
        <f>AQ201</f>
        <v>30.595952999999994</v>
      </c>
      <c r="AR17" s="106">
        <f>AV200</f>
        <v>22.374452999999995</v>
      </c>
      <c r="AS17" s="471">
        <f>AW200</f>
        <v>8.2214999999999989</v>
      </c>
      <c r="AT17" s="471">
        <f>AT201</f>
        <v>51.010788899999994</v>
      </c>
      <c r="AU17" s="109">
        <f>AV201</f>
        <v>30.595952999999994</v>
      </c>
      <c r="AV17" s="106">
        <f>BA200</f>
        <v>22.374452999999995</v>
      </c>
      <c r="AW17" s="471">
        <f>BB200</f>
        <v>8.2214999999999989</v>
      </c>
      <c r="AX17" s="471">
        <f>AY201</f>
        <v>51.010788899999994</v>
      </c>
      <c r="AY17" s="109">
        <f>BA201</f>
        <v>30.595952999999994</v>
      </c>
    </row>
    <row r="18" spans="1:54" x14ac:dyDescent="0.25">
      <c r="B18" s="123"/>
      <c r="C18" s="342" t="s">
        <v>335</v>
      </c>
      <c r="D18" s="323">
        <f>E266</f>
        <v>8.0250000000000004</v>
      </c>
      <c r="E18" s="168">
        <f>F266</f>
        <v>0</v>
      </c>
      <c r="F18" s="168">
        <f>C267</f>
        <v>11.407500000000001</v>
      </c>
      <c r="G18" s="168">
        <f>E267</f>
        <v>8.0250000000000004</v>
      </c>
      <c r="H18" s="323">
        <f>J266</f>
        <v>14.267999999999999</v>
      </c>
      <c r="I18" s="168">
        <f>K266</f>
        <v>3.12</v>
      </c>
      <c r="J18" s="168">
        <f>H267</f>
        <v>26.348400000000002</v>
      </c>
      <c r="K18" s="110">
        <f>J267</f>
        <v>17.387999999999998</v>
      </c>
      <c r="L18" s="323">
        <f>O266</f>
        <v>15.017999999999999</v>
      </c>
      <c r="M18" s="168">
        <f>P266</f>
        <v>3.12</v>
      </c>
      <c r="N18" s="168">
        <f>M267</f>
        <v>27.323400000000003</v>
      </c>
      <c r="O18" s="168">
        <f>O267</f>
        <v>18.137999999999998</v>
      </c>
      <c r="P18" s="323">
        <f>T266</f>
        <v>11.6028</v>
      </c>
      <c r="Q18" s="168">
        <f>U266</f>
        <v>0.3</v>
      </c>
      <c r="R18" s="168">
        <f>R267</f>
        <v>16.583640000000003</v>
      </c>
      <c r="S18" s="110">
        <f>T267</f>
        <v>11.902800000000001</v>
      </c>
      <c r="T18" s="323">
        <f>Y266</f>
        <v>11.6028</v>
      </c>
      <c r="U18" s="168">
        <f>Z266</f>
        <v>0.3</v>
      </c>
      <c r="V18" s="168">
        <f>W267</f>
        <v>16.583640000000003</v>
      </c>
      <c r="W18" s="110">
        <f>Y267</f>
        <v>11.902800000000001</v>
      </c>
      <c r="AD18" s="123"/>
      <c r="AE18" s="431" t="s">
        <v>524</v>
      </c>
      <c r="AF18" s="323">
        <f>AG188</f>
        <v>24.795000000000002</v>
      </c>
      <c r="AG18" s="168">
        <f>AH188</f>
        <v>3.2759999999999998</v>
      </c>
      <c r="AH18" s="168">
        <f>AE189</f>
        <v>48.613500000000002</v>
      </c>
      <c r="AI18" s="110">
        <f>AG189</f>
        <v>28.071000000000002</v>
      </c>
      <c r="AJ18" s="323">
        <f>AL188</f>
        <v>24.756575999999995</v>
      </c>
      <c r="AK18" s="168">
        <f>AM188</f>
        <v>9.8279999999999994</v>
      </c>
      <c r="AL18" s="168">
        <f>AJ189</f>
        <v>58.391548799999995</v>
      </c>
      <c r="AM18" s="110">
        <f>AL189</f>
        <v>34.584575999999998</v>
      </c>
      <c r="AN18" s="323">
        <f>AQ188</f>
        <v>25.506575999999995</v>
      </c>
      <c r="AO18" s="168">
        <f>AR188</f>
        <v>9.8279999999999994</v>
      </c>
      <c r="AP18" s="168">
        <f>AO189</f>
        <v>59.366548799999997</v>
      </c>
      <c r="AQ18" s="110">
        <f>AQ189</f>
        <v>35.334575999999998</v>
      </c>
      <c r="AR18" s="323">
        <f>AV188</f>
        <v>25.506575999999995</v>
      </c>
      <c r="AS18" s="168">
        <f>AW188</f>
        <v>9.8279999999999994</v>
      </c>
      <c r="AT18" s="168">
        <f>AT189</f>
        <v>59.366548799999997</v>
      </c>
      <c r="AU18" s="110">
        <f>AV189</f>
        <v>35.334575999999998</v>
      </c>
      <c r="AV18" s="323">
        <f>BA188</f>
        <v>25.506575999999995</v>
      </c>
      <c r="AW18" s="168">
        <f>BB188</f>
        <v>9.8279999999999994</v>
      </c>
      <c r="AX18" s="168">
        <f>AY189</f>
        <v>59.366548799999997</v>
      </c>
      <c r="AY18" s="110">
        <f>BA189</f>
        <v>35.334575999999998</v>
      </c>
    </row>
    <row r="19" spans="1:54" x14ac:dyDescent="0.25">
      <c r="AD19" s="421" t="s">
        <v>341</v>
      </c>
      <c r="AE19" s="426" t="s">
        <v>450</v>
      </c>
      <c r="AF19" s="105">
        <f>AG251</f>
        <v>13.290000000000001</v>
      </c>
      <c r="AG19" s="249">
        <f>AH251</f>
        <v>1.17</v>
      </c>
      <c r="AH19" s="249">
        <f>AE252</f>
        <v>23.6145</v>
      </c>
      <c r="AI19" s="249">
        <f>AG252</f>
        <v>14.46</v>
      </c>
      <c r="AJ19" s="105">
        <f>AL251</f>
        <v>18.343800000000002</v>
      </c>
      <c r="AK19" s="249">
        <f>AM251</f>
        <v>2.6100000000000003</v>
      </c>
      <c r="AL19" s="249">
        <f>AJ252</f>
        <v>32.996940000000002</v>
      </c>
      <c r="AM19" s="108">
        <f>AL252</f>
        <v>20.953800000000001</v>
      </c>
      <c r="AN19" s="105">
        <f>AQ251</f>
        <v>19.864919999999998</v>
      </c>
      <c r="AO19" s="249">
        <f>AR251</f>
        <v>2.73</v>
      </c>
      <c r="AP19" s="249">
        <f>AO252</f>
        <v>35.574396</v>
      </c>
      <c r="AQ19" s="108">
        <f>AQ252</f>
        <v>22.594919999999998</v>
      </c>
      <c r="AR19" s="105">
        <f>AV251</f>
        <v>16.4223</v>
      </c>
      <c r="AS19" s="249">
        <f>AW251</f>
        <v>1.05</v>
      </c>
      <c r="AT19" s="249">
        <f>AT252</f>
        <v>26.598990000000001</v>
      </c>
      <c r="AU19" s="108">
        <f>AV252</f>
        <v>17.472300000000001</v>
      </c>
      <c r="AV19" s="105">
        <f>BA251</f>
        <v>16.4223</v>
      </c>
      <c r="AW19" s="249">
        <f>BB251</f>
        <v>1.05</v>
      </c>
      <c r="AX19" s="249">
        <f>AY252</f>
        <v>26.598990000000001</v>
      </c>
      <c r="AY19" s="108">
        <f>BA252</f>
        <v>17.472300000000001</v>
      </c>
    </row>
    <row r="20" spans="1:54" x14ac:dyDescent="0.25">
      <c r="AD20" s="306"/>
      <c r="AE20" s="427" t="s">
        <v>449</v>
      </c>
      <c r="AF20" s="106">
        <f>AG239</f>
        <v>12.64015</v>
      </c>
      <c r="AG20" s="471">
        <f>AH239</f>
        <v>1.05</v>
      </c>
      <c r="AH20" s="471">
        <f>AE240</f>
        <v>22.19857</v>
      </c>
      <c r="AI20" s="471">
        <f>AG240</f>
        <v>13.690150000000001</v>
      </c>
      <c r="AJ20" s="106">
        <f>AL239</f>
        <v>17.922035000000001</v>
      </c>
      <c r="AK20" s="471">
        <f>AM239</f>
        <v>2.7023999999999999</v>
      </c>
      <c r="AL20" s="471">
        <f>AJ240</f>
        <v>32.679645499999999</v>
      </c>
      <c r="AM20" s="109">
        <f>AL240</f>
        <v>20.624435000000002</v>
      </c>
      <c r="AN20" s="106">
        <f>AQ239</f>
        <v>18.672035000000001</v>
      </c>
      <c r="AO20" s="471">
        <f>AR239</f>
        <v>2.7023999999999999</v>
      </c>
      <c r="AP20" s="471">
        <f>AO240</f>
        <v>33.654645500000001</v>
      </c>
      <c r="AQ20" s="109">
        <f>AQ240</f>
        <v>21.374435000000002</v>
      </c>
      <c r="AR20" s="106">
        <f>AV239</f>
        <v>16.4223</v>
      </c>
      <c r="AS20" s="471">
        <f>AW239</f>
        <v>1.05</v>
      </c>
      <c r="AT20" s="471">
        <f>AT240</f>
        <v>26.598990000000001</v>
      </c>
      <c r="AU20" s="109">
        <f>AV240</f>
        <v>17.472300000000001</v>
      </c>
      <c r="AV20" s="106">
        <f>BA239</f>
        <v>16.4223</v>
      </c>
      <c r="AW20" s="471">
        <f>BB239</f>
        <v>1.05</v>
      </c>
      <c r="AX20" s="471">
        <f>AY240</f>
        <v>26.598990000000001</v>
      </c>
      <c r="AY20" s="109">
        <f>BA240</f>
        <v>17.472300000000001</v>
      </c>
    </row>
    <row r="21" spans="1:54" x14ac:dyDescent="0.25">
      <c r="AD21" s="123"/>
      <c r="AE21" s="431" t="s">
        <v>448</v>
      </c>
      <c r="AF21" s="323">
        <f>AG227</f>
        <v>13.290000000000001</v>
      </c>
      <c r="AG21" s="168">
        <f>AH227</f>
        <v>1.17</v>
      </c>
      <c r="AH21" s="168">
        <f>AE228</f>
        <v>23.6145</v>
      </c>
      <c r="AI21" s="168">
        <f>AG228</f>
        <v>14.46</v>
      </c>
      <c r="AJ21" s="323">
        <f>AL227</f>
        <v>19.114919999999998</v>
      </c>
      <c r="AK21" s="168">
        <f>AM227</f>
        <v>2.73</v>
      </c>
      <c r="AL21" s="168">
        <f>AJ228</f>
        <v>34.599395999999999</v>
      </c>
      <c r="AM21" s="110">
        <f>AL228</f>
        <v>21.844919999999998</v>
      </c>
      <c r="AN21" s="323">
        <f>AQ227</f>
        <v>19.864919999999998</v>
      </c>
      <c r="AO21" s="168">
        <f>AR227</f>
        <v>2.73</v>
      </c>
      <c r="AP21" s="168">
        <f>AO228</f>
        <v>35.574396</v>
      </c>
      <c r="AQ21" s="110">
        <f>AQ228</f>
        <v>22.594919999999998</v>
      </c>
      <c r="AR21" s="323">
        <f>AV227</f>
        <v>17.19342</v>
      </c>
      <c r="AS21" s="168">
        <f>AW227</f>
        <v>1.17</v>
      </c>
      <c r="AT21" s="168">
        <f>AT228</f>
        <v>28.201445999999997</v>
      </c>
      <c r="AU21" s="110">
        <f>AV228</f>
        <v>18.363419999999998</v>
      </c>
      <c r="AV21" s="323">
        <f>BA227</f>
        <v>17.19342</v>
      </c>
      <c r="AW21" s="168">
        <f>BB227</f>
        <v>1.17</v>
      </c>
      <c r="AX21" s="168">
        <f>AY228</f>
        <v>28.201445999999997</v>
      </c>
      <c r="AY21" s="110">
        <f>BA228</f>
        <v>18.363419999999998</v>
      </c>
    </row>
    <row r="25" spans="1:54" x14ac:dyDescent="0.25">
      <c r="A25" s="402" t="s">
        <v>395</v>
      </c>
      <c r="AC25" s="402" t="s">
        <v>430</v>
      </c>
      <c r="AD25" s="416"/>
      <c r="AE25"/>
      <c r="AF25"/>
      <c r="AG25"/>
      <c r="AH25"/>
      <c r="AI25" s="416"/>
      <c r="AJ25"/>
      <c r="AK25"/>
      <c r="AL25"/>
      <c r="AM25"/>
      <c r="AN25" s="416"/>
      <c r="AO25"/>
      <c r="AP25"/>
      <c r="AQ25"/>
      <c r="AR25"/>
      <c r="AS25" s="416"/>
      <c r="AT25"/>
      <c r="AU25"/>
      <c r="AV25"/>
      <c r="AW25"/>
      <c r="AX25" s="416"/>
    </row>
    <row r="26" spans="1:54" x14ac:dyDescent="0.25">
      <c r="A26" s="403" t="s">
        <v>393</v>
      </c>
      <c r="C26" t="s">
        <v>399</v>
      </c>
      <c r="H26" t="s">
        <v>400</v>
      </c>
      <c r="M26" t="s">
        <v>401</v>
      </c>
      <c r="R26" t="s">
        <v>232</v>
      </c>
      <c r="W26" t="s">
        <v>402</v>
      </c>
      <c r="AC26" s="403" t="s">
        <v>393</v>
      </c>
      <c r="AD26" s="416"/>
      <c r="AE26" t="s">
        <v>399</v>
      </c>
      <c r="AF26"/>
      <c r="AG26"/>
      <c r="AH26"/>
      <c r="AI26" s="416"/>
      <c r="AJ26" t="s">
        <v>400</v>
      </c>
      <c r="AK26"/>
      <c r="AL26"/>
      <c r="AM26"/>
      <c r="AN26" s="416"/>
      <c r="AO26" t="s">
        <v>401</v>
      </c>
      <c r="AP26"/>
      <c r="AQ26"/>
      <c r="AR26"/>
      <c r="AS26" s="416"/>
      <c r="AT26" t="s">
        <v>232</v>
      </c>
      <c r="AU26"/>
      <c r="AV26"/>
      <c r="AW26"/>
      <c r="AX26" s="416"/>
      <c r="AY26" t="s">
        <v>402</v>
      </c>
    </row>
    <row r="27" spans="1:54" x14ac:dyDescent="0.25">
      <c r="A27" s="404" t="s">
        <v>403</v>
      </c>
      <c r="AC27" s="404" t="s">
        <v>432</v>
      </c>
      <c r="AD27" s="416"/>
      <c r="AE27"/>
      <c r="AF27"/>
      <c r="AG27"/>
      <c r="AH27"/>
      <c r="AI27" s="416"/>
      <c r="AJ27"/>
      <c r="AK27"/>
      <c r="AL27"/>
      <c r="AM27"/>
      <c r="AN27" s="416"/>
      <c r="AO27"/>
      <c r="AP27"/>
      <c r="AQ27"/>
      <c r="AR27"/>
      <c r="AS27" s="416"/>
      <c r="AT27"/>
      <c r="AU27"/>
      <c r="AV27"/>
      <c r="AW27"/>
      <c r="AX27" s="416"/>
    </row>
    <row r="28" spans="1:54" x14ac:dyDescent="0.25">
      <c r="B28" s="306"/>
      <c r="C28" s="390" t="s">
        <v>386</v>
      </c>
      <c r="D28" s="390" t="s">
        <v>396</v>
      </c>
      <c r="E28" s="390" t="s">
        <v>288</v>
      </c>
      <c r="F28" s="418" t="s">
        <v>406</v>
      </c>
      <c r="G28" s="306"/>
      <c r="H28" s="390" t="s">
        <v>386</v>
      </c>
      <c r="I28" s="390" t="s">
        <v>396</v>
      </c>
      <c r="J28" s="390" t="s">
        <v>288</v>
      </c>
      <c r="K28" s="418" t="s">
        <v>407</v>
      </c>
      <c r="L28" s="306"/>
      <c r="M28" s="390" t="s">
        <v>386</v>
      </c>
      <c r="N28" s="390" t="s">
        <v>396</v>
      </c>
      <c r="O28" s="390" t="s">
        <v>288</v>
      </c>
      <c r="P28" s="411" t="s">
        <v>407</v>
      </c>
      <c r="Q28" s="306"/>
      <c r="R28" s="390" t="s">
        <v>386</v>
      </c>
      <c r="S28" s="390" t="s">
        <v>396</v>
      </c>
      <c r="T28" s="390" t="s">
        <v>288</v>
      </c>
      <c r="U28" s="411" t="s">
        <v>407</v>
      </c>
      <c r="V28" s="306"/>
      <c r="W28" s="390" t="s">
        <v>386</v>
      </c>
      <c r="X28" s="390" t="s">
        <v>396</v>
      </c>
      <c r="Y28" s="390" t="s">
        <v>288</v>
      </c>
      <c r="Z28" s="411" t="s">
        <v>407</v>
      </c>
      <c r="AC28"/>
      <c r="AD28" s="306"/>
      <c r="AE28" s="416" t="s">
        <v>386</v>
      </c>
      <c r="AF28" s="416" t="s">
        <v>396</v>
      </c>
      <c r="AG28" s="416" t="s">
        <v>288</v>
      </c>
      <c r="AH28" s="418" t="s">
        <v>406</v>
      </c>
      <c r="AI28" s="306"/>
      <c r="AJ28" s="416" t="s">
        <v>386</v>
      </c>
      <c r="AK28" s="416" t="s">
        <v>396</v>
      </c>
      <c r="AL28" s="416" t="s">
        <v>288</v>
      </c>
      <c r="AM28" s="418" t="s">
        <v>407</v>
      </c>
      <c r="AN28" s="306"/>
      <c r="AO28" s="416" t="s">
        <v>386</v>
      </c>
      <c r="AP28" s="416" t="s">
        <v>396</v>
      </c>
      <c r="AQ28" s="416" t="s">
        <v>288</v>
      </c>
      <c r="AR28" s="411" t="s">
        <v>407</v>
      </c>
      <c r="AS28" s="306"/>
      <c r="AT28" s="416" t="s">
        <v>386</v>
      </c>
      <c r="AU28" s="416" t="s">
        <v>396</v>
      </c>
      <c r="AV28" s="416" t="s">
        <v>288</v>
      </c>
      <c r="AW28" s="411" t="s">
        <v>407</v>
      </c>
      <c r="AX28" s="306"/>
      <c r="AY28" s="416" t="s">
        <v>386</v>
      </c>
      <c r="AZ28" s="416" t="s">
        <v>396</v>
      </c>
      <c r="BA28" s="416" t="s">
        <v>288</v>
      </c>
      <c r="BB28" s="411" t="s">
        <v>407</v>
      </c>
    </row>
    <row r="29" spans="1:54" x14ac:dyDescent="0.25">
      <c r="A29" t="s">
        <v>312</v>
      </c>
      <c r="B29" s="106"/>
      <c r="C29" s="415" t="str">
        <f>IF(B29="","",B29*'Tabella Carichi Unitari'!$G$8)</f>
        <v/>
      </c>
      <c r="D29" s="415" t="str">
        <f>IF(B29="","",B29*'Tabella Carichi Unitari'!$H$8)</f>
        <v/>
      </c>
      <c r="E29" s="415" t="str">
        <f>IF(B29="","",B29*'Tabella Carichi Unitari'!$C$8)</f>
        <v/>
      </c>
      <c r="F29" s="415" t="str">
        <f>IF(B29="","",B29*'Tabella Carichi Unitari'!$K$8)</f>
        <v/>
      </c>
      <c r="G29" s="106"/>
      <c r="H29" s="415" t="str">
        <f>IF(G29="","",G29*'Tabella Carichi Unitari'!$G$5)</f>
        <v/>
      </c>
      <c r="I29" s="415" t="str">
        <f>IF(G29="","",G29*'Tabella Carichi Unitari'!$H$5)</f>
        <v/>
      </c>
      <c r="J29" s="415" t="str">
        <f>IF(G29="","",G29*'Tabella Carichi Unitari'!$C$5)</f>
        <v/>
      </c>
      <c r="K29" s="415" t="str">
        <f>IF(G29="","",G29*'Tabella Carichi Unitari'!$K$5)</f>
        <v/>
      </c>
      <c r="L29" s="106"/>
      <c r="M29" s="415" t="str">
        <f>IF(L29="","",L29*'Tabella Carichi Unitari'!$G$5)</f>
        <v/>
      </c>
      <c r="N29" s="415" t="str">
        <f>IF(L29="","",L29*'Tabella Carichi Unitari'!$H$5)</f>
        <v/>
      </c>
      <c r="O29" s="415" t="str">
        <f>IF(L29="","",L29*'Tabella Carichi Unitari'!$C$5)</f>
        <v/>
      </c>
      <c r="P29" s="109" t="str">
        <f>IF(L29="","",L29*'Tabella Carichi Unitari'!$K$5)</f>
        <v/>
      </c>
      <c r="Q29" s="416">
        <v>0.5</v>
      </c>
      <c r="R29" s="415">
        <f>IF(Q29="","",Q29*'Tabella Carichi Unitari'!$G$5)</f>
        <v>2.5061399999999998</v>
      </c>
      <c r="S29" s="415">
        <f>IF(Q29="","",Q29*'Tabella Carichi Unitari'!$H$5)</f>
        <v>1.5</v>
      </c>
      <c r="T29" s="415">
        <f>IF(Q29="","",Q29*'Tabella Carichi Unitari'!$C$5)</f>
        <v>1.9277999999999997</v>
      </c>
      <c r="U29" s="109">
        <f>IF(Q29="","",Q29*'Tabella Carichi Unitari'!$K$5)</f>
        <v>0.3</v>
      </c>
      <c r="V29" s="416">
        <v>0.5</v>
      </c>
      <c r="W29" s="415">
        <f>IF(V29="","",V29*'Tabella Carichi Unitari'!$G$5)</f>
        <v>2.5061399999999998</v>
      </c>
      <c r="X29" s="415">
        <f>IF(V29="","",V29*'Tabella Carichi Unitari'!$H$5)</f>
        <v>1.5</v>
      </c>
      <c r="Y29" s="415">
        <f>IF(V29="","",V29*'Tabella Carichi Unitari'!$C$5)</f>
        <v>1.9277999999999997</v>
      </c>
      <c r="Z29" s="109">
        <f>IF(V29="","",V29*'Tabella Carichi Unitari'!$K$5)</f>
        <v>0.3</v>
      </c>
      <c r="AB29" s="416"/>
      <c r="AC29" t="s">
        <v>312</v>
      </c>
      <c r="AD29" s="106">
        <f>(3.9/2)*1</f>
        <v>1.95</v>
      </c>
      <c r="AE29" s="415">
        <f>IF(AD29="","",AD29*'Tabella Carichi Unitari'!$G$8)</f>
        <v>10.14</v>
      </c>
      <c r="AF29" s="415">
        <f>IF(AD29="","",AD29*'Tabella Carichi Unitari'!$H$8)</f>
        <v>5.85</v>
      </c>
      <c r="AG29" s="415">
        <f>IF(AD29="","",AD29*'Tabella Carichi Unitari'!$C$8)</f>
        <v>7.8</v>
      </c>
      <c r="AH29" s="415">
        <f>IF(AD29="","",AD29*'Tabella Carichi Unitari'!$K$8)</f>
        <v>1.17</v>
      </c>
      <c r="AI29" s="106">
        <f>(3.9/2)*1</f>
        <v>1.95</v>
      </c>
      <c r="AJ29" s="415">
        <f>IF(AI29="","",AI29*'Tabella Carichi Unitari'!$G$5)</f>
        <v>9.7739459999999987</v>
      </c>
      <c r="AK29" s="415">
        <f>IF(AI29="","",AI29*'Tabella Carichi Unitari'!$H$5)</f>
        <v>5.85</v>
      </c>
      <c r="AL29" s="415">
        <f>IF(AI29="","",AI29*'Tabella Carichi Unitari'!$C$5)</f>
        <v>7.518419999999999</v>
      </c>
      <c r="AM29" s="415">
        <f>IF(AI29="","",AI29*'Tabella Carichi Unitari'!$K$5)</f>
        <v>1.17</v>
      </c>
      <c r="AN29" s="106">
        <f>(3.9/2)*1</f>
        <v>1.95</v>
      </c>
      <c r="AO29" s="415">
        <f>IF(AN29="","",AN29*'Tabella Carichi Unitari'!$G$5)</f>
        <v>9.7739459999999987</v>
      </c>
      <c r="AP29" s="415">
        <f>IF(AN29="","",AN29*'Tabella Carichi Unitari'!$H$5)</f>
        <v>5.85</v>
      </c>
      <c r="AQ29" s="415">
        <f>IF(AN29="","",AN29*'Tabella Carichi Unitari'!$C$5)</f>
        <v>7.518419999999999</v>
      </c>
      <c r="AR29" s="109">
        <f>IF(AN29="","",AN29*'Tabella Carichi Unitari'!$K$5)</f>
        <v>1.17</v>
      </c>
      <c r="AS29" s="416">
        <f>(3.9/2)*1</f>
        <v>1.95</v>
      </c>
      <c r="AT29" s="415">
        <f>IF(AS29="","",AS29*'Tabella Carichi Unitari'!$G$5)</f>
        <v>9.7739459999999987</v>
      </c>
      <c r="AU29" s="415">
        <f>IF(AS29="","",AS29*'Tabella Carichi Unitari'!$H$5)</f>
        <v>5.85</v>
      </c>
      <c r="AV29" s="415">
        <f>IF(AS29="","",AS29*'Tabella Carichi Unitari'!$C$5)</f>
        <v>7.518419999999999</v>
      </c>
      <c r="AW29" s="109">
        <f>IF(AS29="","",AS29*'Tabella Carichi Unitari'!$K$5)</f>
        <v>1.17</v>
      </c>
      <c r="AX29" s="416">
        <f>(3.9/2)*1</f>
        <v>1.95</v>
      </c>
      <c r="AY29" s="415">
        <f>IF(AX29="","",AX29*'Tabella Carichi Unitari'!$G$5)</f>
        <v>9.7739459999999987</v>
      </c>
      <c r="AZ29" s="415">
        <f>IF(AX29="","",AX29*'Tabella Carichi Unitari'!$H$5)</f>
        <v>5.85</v>
      </c>
      <c r="BA29" s="415">
        <f>IF(AX29="","",AX29*'Tabella Carichi Unitari'!$C$5)</f>
        <v>7.518419999999999</v>
      </c>
      <c r="BB29" s="109">
        <f>IF(AX29="","",AX29*'Tabella Carichi Unitari'!$K$5)</f>
        <v>1.17</v>
      </c>
    </row>
    <row r="30" spans="1:54" x14ac:dyDescent="0.25">
      <c r="A30" t="s">
        <v>314</v>
      </c>
      <c r="B30" s="106">
        <f>(1.2+0.15)*2*0.57</f>
        <v>1.5389999999999997</v>
      </c>
      <c r="C30" s="415">
        <f>IF(B30="","",B30*'Tabella Carichi Unitari'!$G$11)</f>
        <v>7.8027299999999986</v>
      </c>
      <c r="D30" s="415">
        <f>IF(B30="","",B30*'Tabella Carichi Unitari'!$H$11)</f>
        <v>1.1542499999999998</v>
      </c>
      <c r="E30" s="415">
        <f>IF(B30="","",B30*'Tabella Carichi Unitari'!$C$11)</f>
        <v>6.0020999999999987</v>
      </c>
      <c r="F30" s="415">
        <f>IF(B30="","",B30*'Tabella Carichi Unitari'!$K$11)</f>
        <v>0</v>
      </c>
      <c r="G30" s="106">
        <f>B30</f>
        <v>1.5389999999999997</v>
      </c>
      <c r="H30" s="415">
        <f>IF(G30="","",G30*'Tabella Carichi Unitari'!$G$10)</f>
        <v>8.2228769999999969</v>
      </c>
      <c r="I30" s="415">
        <f>IF(G30="","",G30*'Tabella Carichi Unitari'!$H$10)</f>
        <v>9.2339999999999982</v>
      </c>
      <c r="J30" s="415">
        <f>IF(G30="","",G30*'Tabella Carichi Unitari'!$C$10)</f>
        <v>6.3252899999999981</v>
      </c>
      <c r="K30" s="415">
        <f>IF(G30="","",G30*'Tabella Carichi Unitari'!$K$10)</f>
        <v>3.6935999999999991</v>
      </c>
      <c r="L30" s="106">
        <f>B30</f>
        <v>1.5389999999999997</v>
      </c>
      <c r="M30" s="415">
        <f>IF(L30="","",L30*'Tabella Carichi Unitari'!$G$10)</f>
        <v>8.2228769999999969</v>
      </c>
      <c r="N30" s="415">
        <f>IF(L30="","",L30*'Tabella Carichi Unitari'!$H$10)</f>
        <v>9.2339999999999982</v>
      </c>
      <c r="O30" s="415">
        <f>IF(L30="","",L30*'Tabella Carichi Unitari'!$C$10)</f>
        <v>6.3252899999999981</v>
      </c>
      <c r="P30" s="109">
        <f>IF(L30="","",L30*'Tabella Carichi Unitari'!$K$10)</f>
        <v>3.6935999999999991</v>
      </c>
      <c r="Q30" s="416"/>
      <c r="R30" s="415" t="str">
        <f>IF(Q30="","",Q30*'Tabella Carichi Unitari'!$G$10)</f>
        <v/>
      </c>
      <c r="S30" s="415" t="str">
        <f>IF(Q30="","",Q30*'Tabella Carichi Unitari'!$H$10)</f>
        <v/>
      </c>
      <c r="T30" s="415" t="str">
        <f>IF(Q30="","",Q30*'Tabella Carichi Unitari'!$C$10)</f>
        <v/>
      </c>
      <c r="U30" s="109" t="str">
        <f>IF(Q30="","",Q30*'Tabella Carichi Unitari'!$K$10)</f>
        <v/>
      </c>
      <c r="V30" s="416"/>
      <c r="W30" s="415" t="str">
        <f>IF(V30="","",V30*'Tabella Carichi Unitari'!$G$10)</f>
        <v/>
      </c>
      <c r="X30" s="415" t="str">
        <f>IF(V30="","",V30*'Tabella Carichi Unitari'!$H$10)</f>
        <v/>
      </c>
      <c r="Y30" s="415" t="str">
        <f>IF(V30="","",V30*'Tabella Carichi Unitari'!$C$10)</f>
        <v/>
      </c>
      <c r="Z30" s="109" t="str">
        <f>IF(V30="","",V30*'Tabella Carichi Unitari'!$K$10)</f>
        <v/>
      </c>
      <c r="AB30" s="416"/>
      <c r="AC30" t="s">
        <v>314</v>
      </c>
      <c r="AD30" s="106">
        <f>(0.5+0.15)</f>
        <v>0.65</v>
      </c>
      <c r="AE30" s="415">
        <f>IF(AD30="","",AD30*'Tabella Carichi Unitari'!$G$11)</f>
        <v>3.2955000000000001</v>
      </c>
      <c r="AF30" s="415">
        <f>IF(AD30="","",AD30*'Tabella Carichi Unitari'!$H$11)</f>
        <v>0.48750000000000004</v>
      </c>
      <c r="AG30" s="415">
        <f>IF(AD30="","",AD30*'Tabella Carichi Unitari'!$C$11)</f>
        <v>2.5350000000000001</v>
      </c>
      <c r="AH30" s="415">
        <f>IF(AD30="","",AD30*'Tabella Carichi Unitari'!$K$11)</f>
        <v>0</v>
      </c>
      <c r="AI30" s="106">
        <f>AD30</f>
        <v>0.65</v>
      </c>
      <c r="AJ30" s="415">
        <f>IF(AI30="","",AI30*'Tabella Carichi Unitari'!$G$10)</f>
        <v>3.4729499999999995</v>
      </c>
      <c r="AK30" s="415">
        <f>IF(AI30="","",AI30*'Tabella Carichi Unitari'!$H$10)</f>
        <v>3.9000000000000004</v>
      </c>
      <c r="AL30" s="415">
        <f>IF(AI30="","",AI30*'Tabella Carichi Unitari'!$C$10)</f>
        <v>2.6714999999999995</v>
      </c>
      <c r="AM30" s="415">
        <f>IF(AI30="","",AI30*'Tabella Carichi Unitari'!$K$10)</f>
        <v>1.56</v>
      </c>
      <c r="AN30" s="106">
        <f>AD30</f>
        <v>0.65</v>
      </c>
      <c r="AO30" s="415">
        <f>IF(AN30="","",AN30*'Tabella Carichi Unitari'!$G$10)</f>
        <v>3.4729499999999995</v>
      </c>
      <c r="AP30" s="415">
        <f>IF(AN30="","",AN30*'Tabella Carichi Unitari'!$H$10)</f>
        <v>3.9000000000000004</v>
      </c>
      <c r="AQ30" s="415">
        <f>IF(AN30="","",AN30*'Tabella Carichi Unitari'!$C$10)</f>
        <v>2.6714999999999995</v>
      </c>
      <c r="AR30" s="109">
        <f>IF(AN30="","",AN30*'Tabella Carichi Unitari'!$K$10)</f>
        <v>1.56</v>
      </c>
      <c r="AS30" s="416"/>
      <c r="AT30" s="415" t="str">
        <f>IF(AS30="","",AS30*'Tabella Carichi Unitari'!$G$10)</f>
        <v/>
      </c>
      <c r="AU30" s="415" t="str">
        <f>IF(AS30="","",AS30*'Tabella Carichi Unitari'!$H$10)</f>
        <v/>
      </c>
      <c r="AV30" s="415" t="str">
        <f>IF(AS30="","",AS30*'Tabella Carichi Unitari'!$C$10)</f>
        <v/>
      </c>
      <c r="AW30" s="109" t="str">
        <f>IF(AS30="","",AS30*'Tabella Carichi Unitari'!$K$10)</f>
        <v/>
      </c>
      <c r="AX30" s="416"/>
      <c r="AY30" s="415" t="str">
        <f>IF(AX30="","",AX30*'Tabella Carichi Unitari'!$G$10)</f>
        <v/>
      </c>
      <c r="AZ30" s="415" t="str">
        <f>IF(AX30="","",AX30*'Tabella Carichi Unitari'!$H$10)</f>
        <v/>
      </c>
      <c r="BA30" s="415" t="str">
        <f>IF(AX30="","",AX30*'Tabella Carichi Unitari'!$C$10)</f>
        <v/>
      </c>
      <c r="BB30" s="109" t="str">
        <f>IF(AX30="","",AX30*'Tabella Carichi Unitari'!$K$10)</f>
        <v/>
      </c>
    </row>
    <row r="31" spans="1:54" x14ac:dyDescent="0.25">
      <c r="A31" t="s">
        <v>315</v>
      </c>
      <c r="B31" s="106"/>
      <c r="C31" s="415" t="str">
        <f>IF(B31="","",B31*'Tabella Carichi Unitari'!$G$12)</f>
        <v/>
      </c>
      <c r="D31" s="415" t="str">
        <f>IF(B31="","",B31*'Tabella Carichi Unitari'!$H$12)</f>
        <v/>
      </c>
      <c r="E31" s="415" t="str">
        <f>IF(B31="","",B31*'Tabella Carichi Unitari'!$C$12)</f>
        <v/>
      </c>
      <c r="F31" s="415" t="str">
        <f>IF(B31="","",B31*'Tabella Carichi Unitari'!$K$12)</f>
        <v/>
      </c>
      <c r="G31" s="106"/>
      <c r="H31" s="415" t="str">
        <f>IF(G31="","",G31*'Tabella Carichi Unitari'!$G$12)</f>
        <v/>
      </c>
      <c r="I31" s="415" t="str">
        <f>IF(G31="","",G31*'Tabella Carichi Unitari'!$H$12)</f>
        <v/>
      </c>
      <c r="J31" s="415" t="str">
        <f>IF(G31="","",G31*'Tabella Carichi Unitari'!$C$12)</f>
        <v/>
      </c>
      <c r="K31" s="415" t="str">
        <f>IF(G31="","",G31*'Tabella Carichi Unitari'!$K$12)</f>
        <v/>
      </c>
      <c r="L31" s="106"/>
      <c r="M31" s="415" t="str">
        <f>IF(L31="","",L31*'Tabella Carichi Unitari'!$G$12)</f>
        <v/>
      </c>
      <c r="N31" s="415" t="str">
        <f>IF(L31="","",L31*'Tabella Carichi Unitari'!$H$12)</f>
        <v/>
      </c>
      <c r="O31" s="415" t="str">
        <f>IF(L31="","",L31*'Tabella Carichi Unitari'!$C$12)</f>
        <v/>
      </c>
      <c r="P31" s="109" t="str">
        <f>IF(L31="","",L31*'Tabella Carichi Unitari'!$K$12)</f>
        <v/>
      </c>
      <c r="Q31" s="416"/>
      <c r="R31" s="415" t="str">
        <f>IF(Q31="","",Q31*'Tabella Carichi Unitari'!$G$12)</f>
        <v/>
      </c>
      <c r="S31" s="415" t="str">
        <f>IF(Q31="","",Q31*'Tabella Carichi Unitari'!$H$12)</f>
        <v/>
      </c>
      <c r="T31" s="415" t="str">
        <f>IF(Q31="","",Q31*'Tabella Carichi Unitari'!$C$12)</f>
        <v/>
      </c>
      <c r="U31" s="109" t="str">
        <f>IF(Q31="","",Q31*'Tabella Carichi Unitari'!$K$12)</f>
        <v/>
      </c>
      <c r="V31" s="416"/>
      <c r="W31" s="415" t="str">
        <f>IF(V31="","",V31*'Tabella Carichi Unitari'!$G$12)</f>
        <v/>
      </c>
      <c r="X31" s="415" t="str">
        <f>IF(V31="","",V31*'Tabella Carichi Unitari'!$H$12)</f>
        <v/>
      </c>
      <c r="Y31" s="415" t="str">
        <f>IF(V31="","",V31*'Tabella Carichi Unitari'!$C$12)</f>
        <v/>
      </c>
      <c r="Z31" s="109" t="str">
        <f>IF(V31="","",V31*'Tabella Carichi Unitari'!$K$12)</f>
        <v/>
      </c>
      <c r="AB31" s="416"/>
      <c r="AC31" t="s">
        <v>315</v>
      </c>
      <c r="AD31" s="106"/>
      <c r="AE31" s="415" t="str">
        <f>IF(AD31="","",AD31*'Tabella Carichi Unitari'!$G$12)</f>
        <v/>
      </c>
      <c r="AF31" s="415" t="str">
        <f>IF(AD31="","",AD31*'Tabella Carichi Unitari'!$H$12)</f>
        <v/>
      </c>
      <c r="AG31" s="415" t="str">
        <f>IF(AD31="","",AD31*'Tabella Carichi Unitari'!$C$12)</f>
        <v/>
      </c>
      <c r="AH31" s="415" t="str">
        <f>IF(AD31="","",AD31*'Tabella Carichi Unitari'!$K$12)</f>
        <v/>
      </c>
      <c r="AI31" s="106"/>
      <c r="AJ31" s="415" t="str">
        <f>IF(AI31="","",AI31*'Tabella Carichi Unitari'!$G$12)</f>
        <v/>
      </c>
      <c r="AK31" s="415" t="str">
        <f>IF(AI31="","",AI31*'Tabella Carichi Unitari'!$H$12)</f>
        <v/>
      </c>
      <c r="AL31" s="415" t="str">
        <f>IF(AI31="","",AI31*'Tabella Carichi Unitari'!$C$12)</f>
        <v/>
      </c>
      <c r="AM31" s="415" t="str">
        <f>IF(AI31="","",AI31*'Tabella Carichi Unitari'!$K$12)</f>
        <v/>
      </c>
      <c r="AN31" s="106"/>
      <c r="AO31" s="415" t="str">
        <f>IF(AN31="","",AN31*'Tabella Carichi Unitari'!$G$12)</f>
        <v/>
      </c>
      <c r="AP31" s="415" t="str">
        <f>IF(AN31="","",AN31*'Tabella Carichi Unitari'!$H$12)</f>
        <v/>
      </c>
      <c r="AQ31" s="415" t="str">
        <f>IF(AN31="","",AN31*'Tabella Carichi Unitari'!$C$12)</f>
        <v/>
      </c>
      <c r="AR31" s="109" t="str">
        <f>IF(AN31="","",AN31*'Tabella Carichi Unitari'!$K$12)</f>
        <v/>
      </c>
      <c r="AS31" s="416"/>
      <c r="AT31" s="415" t="str">
        <f>IF(AS31="","",AS31*'Tabella Carichi Unitari'!$G$12)</f>
        <v/>
      </c>
      <c r="AU31" s="415" t="str">
        <f>IF(AS31="","",AS31*'Tabella Carichi Unitari'!$H$12)</f>
        <v/>
      </c>
      <c r="AV31" s="415" t="str">
        <f>IF(AS31="","",AS31*'Tabella Carichi Unitari'!$C$12)</f>
        <v/>
      </c>
      <c r="AW31" s="109" t="str">
        <f>IF(AS31="","",AS31*'Tabella Carichi Unitari'!$K$12)</f>
        <v/>
      </c>
      <c r="AX31" s="416"/>
      <c r="AY31" s="415" t="str">
        <f>IF(AX31="","",AX31*'Tabella Carichi Unitari'!$G$12)</f>
        <v/>
      </c>
      <c r="AZ31" s="415" t="str">
        <f>IF(AX31="","",AX31*'Tabella Carichi Unitari'!$H$12)</f>
        <v/>
      </c>
      <c r="BA31" s="415" t="str">
        <f>IF(AX31="","",AX31*'Tabella Carichi Unitari'!$C$12)</f>
        <v/>
      </c>
      <c r="BB31" s="109" t="str">
        <f>IF(AX31="","",AX31*'Tabella Carichi Unitari'!$K$12)</f>
        <v/>
      </c>
    </row>
    <row r="32" spans="1:54" x14ac:dyDescent="0.25">
      <c r="A32" t="s">
        <v>391</v>
      </c>
      <c r="B32" s="306">
        <v>1</v>
      </c>
      <c r="C32" s="415">
        <f>IF(B32="","",B32*'Tabella Carichi Unitari'!$G$15)</f>
        <v>3.8415000000000004</v>
      </c>
      <c r="D32" s="415">
        <f>IF(B32="","",B32*'Tabella Carichi Unitari'!$H$15)</f>
        <v>0</v>
      </c>
      <c r="E32" s="415">
        <f>IF(B32="","",B32*'Tabella Carichi Unitari'!$C$15)</f>
        <v>2.9550000000000001</v>
      </c>
      <c r="F32" s="415">
        <f>IF(B32="","",B32*'Tabella Carichi Unitari'!$K$15)</f>
        <v>0</v>
      </c>
      <c r="G32" s="306">
        <v>1</v>
      </c>
      <c r="H32" s="415">
        <f>IF(G32="","",G32*'Tabella Carichi Unitari'!$G$14)</f>
        <v>4.8165000000000004</v>
      </c>
      <c r="I32" s="415">
        <f>IF(G32="","",G32*'Tabella Carichi Unitari'!$H$14)</f>
        <v>0</v>
      </c>
      <c r="J32" s="415">
        <f>IF(G32="","",G32*'Tabella Carichi Unitari'!$C$14)</f>
        <v>3.7050000000000001</v>
      </c>
      <c r="K32" s="415">
        <f>IF(G32="","",G32*'Tabella Carichi Unitari'!$K$14)</f>
        <v>0</v>
      </c>
      <c r="L32" s="306">
        <v>1</v>
      </c>
      <c r="M32" s="415">
        <f>IF(L32="","",L32*'Tabella Carichi Unitari'!$G$13)</f>
        <v>5.7915000000000001</v>
      </c>
      <c r="N32" s="415">
        <f>IF(L32="","",L32*'Tabella Carichi Unitari'!$H$13)</f>
        <v>0</v>
      </c>
      <c r="O32" s="415">
        <f>IF(L32="","",L32*'Tabella Carichi Unitari'!$C$13)</f>
        <v>4.4550000000000001</v>
      </c>
      <c r="P32" s="109">
        <f>IF(L32="","",L32*'Tabella Carichi Unitari'!$K$13)</f>
        <v>0</v>
      </c>
      <c r="Q32" s="416">
        <v>1</v>
      </c>
      <c r="R32" s="415">
        <f>IF(Q32="","",Q32*'Tabella Carichi Unitari'!$G$13)</f>
        <v>5.7915000000000001</v>
      </c>
      <c r="S32" s="415">
        <f>IF(Q32="","",Q32*'Tabella Carichi Unitari'!$H$13)</f>
        <v>0</v>
      </c>
      <c r="T32" s="415">
        <f>IF(Q32="","",Q32*'Tabella Carichi Unitari'!$C$13)</f>
        <v>4.4550000000000001</v>
      </c>
      <c r="U32" s="109">
        <f>IF(Q32="","",Q32*'Tabella Carichi Unitari'!$K$13)</f>
        <v>0</v>
      </c>
      <c r="V32" s="416">
        <v>1</v>
      </c>
      <c r="W32" s="415">
        <f>IF(V32="","",V32*'Tabella Carichi Unitari'!$G$13)</f>
        <v>5.7915000000000001</v>
      </c>
      <c r="X32" s="415">
        <f>IF(V32="","",V32*'Tabella Carichi Unitari'!$H$13)</f>
        <v>0</v>
      </c>
      <c r="Y32" s="415">
        <f>IF(V32="","",V32*'Tabella Carichi Unitari'!$C$13)</f>
        <v>4.4550000000000001</v>
      </c>
      <c r="Z32" s="109">
        <f>IF(V32="","",V32*'Tabella Carichi Unitari'!$K$13)</f>
        <v>0</v>
      </c>
      <c r="AB32" s="416"/>
      <c r="AC32" t="s">
        <v>391</v>
      </c>
      <c r="AD32" s="306">
        <v>1</v>
      </c>
      <c r="AE32" s="415">
        <f>IF(AD32="","",AD32*'Tabella Carichi Unitari'!$G$15)</f>
        <v>3.8415000000000004</v>
      </c>
      <c r="AF32" s="415">
        <f>IF(AD32="","",AD32*'Tabella Carichi Unitari'!$H$15)</f>
        <v>0</v>
      </c>
      <c r="AG32" s="415">
        <f>IF(AD32="","",AD32*'Tabella Carichi Unitari'!$C$15)</f>
        <v>2.9550000000000001</v>
      </c>
      <c r="AH32" s="415">
        <f>IF(AD32="","",AD32*'Tabella Carichi Unitari'!$K$15)</f>
        <v>0</v>
      </c>
      <c r="AI32" s="306">
        <v>1</v>
      </c>
      <c r="AJ32" s="415">
        <f>IF(AI32="","",AI32*'Tabella Carichi Unitari'!$G$14)</f>
        <v>4.8165000000000004</v>
      </c>
      <c r="AK32" s="415">
        <f>IF(AI32="","",AI32*'Tabella Carichi Unitari'!$H$14)</f>
        <v>0</v>
      </c>
      <c r="AL32" s="415">
        <f>IF(AI32="","",AI32*'Tabella Carichi Unitari'!$C$14)</f>
        <v>3.7050000000000001</v>
      </c>
      <c r="AM32" s="415">
        <f>IF(AI32="","",AI32*'Tabella Carichi Unitari'!$K$14)</f>
        <v>0</v>
      </c>
      <c r="AN32" s="306">
        <v>1</v>
      </c>
      <c r="AO32" s="415">
        <f>IF(AN32="","",AN32*'Tabella Carichi Unitari'!$G$13)</f>
        <v>5.7915000000000001</v>
      </c>
      <c r="AP32" s="415">
        <f>IF(AN32="","",AN32*'Tabella Carichi Unitari'!$H$13)</f>
        <v>0</v>
      </c>
      <c r="AQ32" s="415">
        <f>IF(AN32="","",AN32*'Tabella Carichi Unitari'!$C$13)</f>
        <v>4.4550000000000001</v>
      </c>
      <c r="AR32" s="109">
        <f>IF(AN32="","",AN32*'Tabella Carichi Unitari'!$K$13)</f>
        <v>0</v>
      </c>
      <c r="AS32" s="416">
        <v>1</v>
      </c>
      <c r="AT32" s="415">
        <f>IF(AS32="","",AS32*'Tabella Carichi Unitari'!$G$13)</f>
        <v>5.7915000000000001</v>
      </c>
      <c r="AU32" s="415">
        <f>IF(AS32="","",AS32*'Tabella Carichi Unitari'!$H$13)</f>
        <v>0</v>
      </c>
      <c r="AV32" s="415">
        <f>IF(AS32="","",AS32*'Tabella Carichi Unitari'!$C$13)</f>
        <v>4.4550000000000001</v>
      </c>
      <c r="AW32" s="109">
        <f>IF(AS32="","",AS32*'Tabella Carichi Unitari'!$K$13)</f>
        <v>0</v>
      </c>
      <c r="AX32" s="416">
        <v>1</v>
      </c>
      <c r="AY32" s="415">
        <f>IF(AX32="","",AX32*'Tabella Carichi Unitari'!$G$13)</f>
        <v>5.7915000000000001</v>
      </c>
      <c r="AZ32" s="415">
        <f>IF(AX32="","",AX32*'Tabella Carichi Unitari'!$H$13)</f>
        <v>0</v>
      </c>
      <c r="BA32" s="415">
        <f>IF(AX32="","",AX32*'Tabella Carichi Unitari'!$C$13)</f>
        <v>4.4550000000000001</v>
      </c>
      <c r="BB32" s="109">
        <f>IF(AX32="","",AX32*'Tabella Carichi Unitari'!$K$13)</f>
        <v>0</v>
      </c>
    </row>
    <row r="33" spans="1:54" x14ac:dyDescent="0.25">
      <c r="A33" t="s">
        <v>392</v>
      </c>
      <c r="B33" s="306"/>
      <c r="C33" s="415" t="str">
        <f>IF(B33="","",B33*'Tabella Carichi Unitari'!$G$16)</f>
        <v/>
      </c>
      <c r="D33" s="415" t="str">
        <f>IF(B33="","",B33*'Tabella Carichi Unitari'!$H$16)</f>
        <v/>
      </c>
      <c r="E33" s="415" t="str">
        <f>IF(B33="","",B33*'Tabella Carichi Unitari'!$C$16)</f>
        <v/>
      </c>
      <c r="F33" s="415" t="str">
        <f>IF(B33="","",B33*'Tabella Carichi Unitari'!$K$16)</f>
        <v/>
      </c>
      <c r="G33" s="306"/>
      <c r="H33" s="415" t="str">
        <f>IF(G33="","",G33*'Tabella Carichi Unitari'!$G$16)</f>
        <v/>
      </c>
      <c r="I33" s="415" t="str">
        <f>IF(G33="","",G33*'Tabella Carichi Unitari'!$H$16)</f>
        <v/>
      </c>
      <c r="J33" s="415" t="str">
        <f>IF(G33="","",G33*'Tabella Carichi Unitari'!$C$16)</f>
        <v/>
      </c>
      <c r="K33" s="415" t="str">
        <f>IF(G33="","",G33*'Tabella Carichi Unitari'!$K$16)</f>
        <v/>
      </c>
      <c r="L33" s="306"/>
      <c r="M33" s="415" t="str">
        <f>IF(L33="","",L33*'Tabella Carichi Unitari'!$G$9)</f>
        <v/>
      </c>
      <c r="N33" s="415" t="str">
        <f>IF(L33="","",L33*'Tabella Carichi Unitari'!$H$9)</f>
        <v/>
      </c>
      <c r="O33" s="415" t="str">
        <f>IF(L33="","",L33*'Tabella Carichi Unitari'!$C$9)</f>
        <v/>
      </c>
      <c r="P33" s="109" t="str">
        <f>IF(L33="","",L33*'Tabella Carichi Unitari'!$K$9)</f>
        <v/>
      </c>
      <c r="Q33" s="416"/>
      <c r="R33" s="415" t="str">
        <f>IF(Q33="","",Q33*'Tabella Carichi Unitari'!$G$9)</f>
        <v/>
      </c>
      <c r="S33" s="415" t="str">
        <f>IF(Q33="","",Q33*'Tabella Carichi Unitari'!$H$9)</f>
        <v/>
      </c>
      <c r="T33" s="415" t="str">
        <f>IF(Q33="","",Q33*'Tabella Carichi Unitari'!$C$9)</f>
        <v/>
      </c>
      <c r="U33" s="109" t="str">
        <f>IF(Q33="","",Q33*'Tabella Carichi Unitari'!$K$9)</f>
        <v/>
      </c>
      <c r="V33" s="416"/>
      <c r="W33" s="415" t="str">
        <f>IF(V33="","",V33*'Tabella Carichi Unitari'!$G$9)</f>
        <v/>
      </c>
      <c r="X33" s="415" t="str">
        <f>IF(V33="","",V33*'Tabella Carichi Unitari'!$H$9)</f>
        <v/>
      </c>
      <c r="Y33" s="415" t="str">
        <f>IF(V33="","",V33*'Tabella Carichi Unitari'!$C$9)</f>
        <v/>
      </c>
      <c r="Z33" s="109" t="str">
        <f>IF(V33="","",V33*'Tabella Carichi Unitari'!$K$9)</f>
        <v/>
      </c>
      <c r="AB33" s="416"/>
      <c r="AC33" t="s">
        <v>392</v>
      </c>
      <c r="AD33" s="306"/>
      <c r="AE33" s="415" t="str">
        <f>IF(AD33="","",AD33*'Tabella Carichi Unitari'!$G$16)</f>
        <v/>
      </c>
      <c r="AF33" s="415" t="str">
        <f>IF(AD33="","",AD33*'Tabella Carichi Unitari'!$H$16)</f>
        <v/>
      </c>
      <c r="AG33" s="415" t="str">
        <f>IF(AD33="","",AD33*'Tabella Carichi Unitari'!$C$16)</f>
        <v/>
      </c>
      <c r="AH33" s="415" t="str">
        <f>IF(AD33="","",AD33*'Tabella Carichi Unitari'!$K$16)</f>
        <v/>
      </c>
      <c r="AI33" s="306"/>
      <c r="AJ33" s="415" t="str">
        <f>IF(AI33="","",AI33*'Tabella Carichi Unitari'!$G$16)</f>
        <v/>
      </c>
      <c r="AK33" s="415" t="str">
        <f>IF(AI33="","",AI33*'Tabella Carichi Unitari'!$H$16)</f>
        <v/>
      </c>
      <c r="AL33" s="415" t="str">
        <f>IF(AI33="","",AI33*'Tabella Carichi Unitari'!$C$16)</f>
        <v/>
      </c>
      <c r="AM33" s="415" t="str">
        <f>IF(AI33="","",AI33*'Tabella Carichi Unitari'!$K$16)</f>
        <v/>
      </c>
      <c r="AN33" s="306"/>
      <c r="AO33" s="415" t="str">
        <f>IF(AN33="","",AN33*'Tabella Carichi Unitari'!$G$9)</f>
        <v/>
      </c>
      <c r="AP33" s="415" t="str">
        <f>IF(AN33="","",AN33*'Tabella Carichi Unitari'!$H$9)</f>
        <v/>
      </c>
      <c r="AQ33" s="415" t="str">
        <f>IF(AN33="","",AN33*'Tabella Carichi Unitari'!$C$9)</f>
        <v/>
      </c>
      <c r="AR33" s="109" t="str">
        <f>IF(AN33="","",AN33*'Tabella Carichi Unitari'!$K$9)</f>
        <v/>
      </c>
      <c r="AS33" s="416"/>
      <c r="AT33" s="415" t="str">
        <f>IF(AS33="","",AS33*'Tabella Carichi Unitari'!$G$9)</f>
        <v/>
      </c>
      <c r="AU33" s="415" t="str">
        <f>IF(AS33="","",AS33*'Tabella Carichi Unitari'!$H$9)</f>
        <v/>
      </c>
      <c r="AV33" s="415" t="str">
        <f>IF(AS33="","",AS33*'Tabella Carichi Unitari'!$C$9)</f>
        <v/>
      </c>
      <c r="AW33" s="109" t="str">
        <f>IF(AS33="","",AS33*'Tabella Carichi Unitari'!$K$9)</f>
        <v/>
      </c>
      <c r="AX33" s="416"/>
      <c r="AY33" s="415" t="str">
        <f>IF(AX33="","",AX33*'Tabella Carichi Unitari'!$G$9)</f>
        <v/>
      </c>
      <c r="AZ33" s="415" t="str">
        <f>IF(AX33="","",AX33*'Tabella Carichi Unitari'!$H$9)</f>
        <v/>
      </c>
      <c r="BA33" s="415" t="str">
        <f>IF(AX33="","",AX33*'Tabella Carichi Unitari'!$C$9)</f>
        <v/>
      </c>
      <c r="BB33" s="109" t="str">
        <f>IF(AX33="","",AX33*'Tabella Carichi Unitari'!$K$9)</f>
        <v/>
      </c>
    </row>
    <row r="34" spans="1:54" x14ac:dyDescent="0.25">
      <c r="A34" t="s">
        <v>313</v>
      </c>
      <c r="B34" s="306"/>
      <c r="C34" s="168" t="str">
        <f>IF(B34="","",B34*'Tabella Carichi Unitari'!$G$17)</f>
        <v/>
      </c>
      <c r="D34" s="168" t="str">
        <f>IF(B34="","",B34*'Tabella Carichi Unitari'!$H$17)</f>
        <v/>
      </c>
      <c r="E34" s="168" t="str">
        <f>IF(B34="","",B34*'Tabella Carichi Unitari'!$C$17)</f>
        <v/>
      </c>
      <c r="F34" s="110" t="str">
        <f>IF(B34="","",B34*'Tabella Carichi Unitari'!$K$17)</f>
        <v/>
      </c>
      <c r="G34" s="306">
        <v>0.8</v>
      </c>
      <c r="H34" s="168">
        <f>IF(G34="","",G34*'Tabella Carichi Unitari'!$G$17)</f>
        <v>6.0320000000000009</v>
      </c>
      <c r="I34" s="168">
        <f>IF(G34="","",G34*'Tabella Carichi Unitari'!$H$17)</f>
        <v>0</v>
      </c>
      <c r="J34" s="168">
        <f>IF(G34="","",G34*'Tabella Carichi Unitari'!$C$17)</f>
        <v>4.6400000000000006</v>
      </c>
      <c r="K34" s="110">
        <f>IF(G34="","",G34*'Tabella Carichi Unitari'!$K$17)</f>
        <v>0</v>
      </c>
      <c r="L34" s="306">
        <v>0.8</v>
      </c>
      <c r="M34" s="168">
        <f>IF(L34="","",L34*'Tabella Carichi Unitari'!$G$17)</f>
        <v>6.0320000000000009</v>
      </c>
      <c r="N34" s="168">
        <f>IF(L34="","",L34*'Tabella Carichi Unitari'!$H$17)</f>
        <v>0</v>
      </c>
      <c r="O34" s="168">
        <f>IF(L34="","",L34*'Tabella Carichi Unitari'!$C$17)</f>
        <v>4.6400000000000006</v>
      </c>
      <c r="P34" s="110">
        <f>IF(L34="","",L34*'Tabella Carichi Unitari'!$K$17)</f>
        <v>0</v>
      </c>
      <c r="Q34" s="416">
        <v>0.9</v>
      </c>
      <c r="R34" s="168">
        <f>IF(Q34="","",Q34*'Tabella Carichi Unitari'!$G$17)</f>
        <v>6.7860000000000014</v>
      </c>
      <c r="S34" s="168">
        <f>IF(Q34="","",Q34*'Tabella Carichi Unitari'!$H$17)</f>
        <v>0</v>
      </c>
      <c r="T34" s="168">
        <f>IF(Q34="","",Q34*'Tabella Carichi Unitari'!$C$17)</f>
        <v>5.2200000000000006</v>
      </c>
      <c r="U34" s="110">
        <f>IF(Q34="","",Q34*'Tabella Carichi Unitari'!$K$17)</f>
        <v>0</v>
      </c>
      <c r="V34" s="416">
        <v>0.9</v>
      </c>
      <c r="W34" s="168">
        <f>IF(V34="","",V34*'Tabella Carichi Unitari'!$G$17)</f>
        <v>6.7860000000000014</v>
      </c>
      <c r="X34" s="168">
        <f>IF(V34="","",V34*'Tabella Carichi Unitari'!$H$17)</f>
        <v>0</v>
      </c>
      <c r="Y34" s="168">
        <f>IF(V34="","",V34*'Tabella Carichi Unitari'!$C$17)</f>
        <v>5.2200000000000006</v>
      </c>
      <c r="Z34" s="110">
        <f>IF(V34="","",V34*'Tabella Carichi Unitari'!$K$17)</f>
        <v>0</v>
      </c>
      <c r="AB34" s="416"/>
      <c r="AC34" t="s">
        <v>313</v>
      </c>
      <c r="AD34" s="306"/>
      <c r="AE34" s="168" t="str">
        <f>IF(AD34="","",AD34*'Tabella Carichi Unitari'!$G$17)</f>
        <v/>
      </c>
      <c r="AF34" s="168" t="str">
        <f>IF(AD34="","",AD34*'Tabella Carichi Unitari'!$H$17)</f>
        <v/>
      </c>
      <c r="AG34" s="168" t="str">
        <f>IF(AD34="","",AD34*'Tabella Carichi Unitari'!$C$17)</f>
        <v/>
      </c>
      <c r="AH34" s="110" t="str">
        <f>IF(AD34="","",AD34*'Tabella Carichi Unitari'!$K$17)</f>
        <v/>
      </c>
      <c r="AI34" s="306">
        <v>0.9</v>
      </c>
      <c r="AJ34" s="168">
        <f>IF(AI34="","",AI34*'Tabella Carichi Unitari'!$G$17)</f>
        <v>6.7860000000000014</v>
      </c>
      <c r="AK34" s="168">
        <f>IF(AI34="","",AI34*'Tabella Carichi Unitari'!$H$17)</f>
        <v>0</v>
      </c>
      <c r="AL34" s="168">
        <f>IF(AI34="","",AI34*'Tabella Carichi Unitari'!$C$17)</f>
        <v>5.2200000000000006</v>
      </c>
      <c r="AM34" s="110">
        <f>IF(AI34="","",AI34*'Tabella Carichi Unitari'!$K$17)</f>
        <v>0</v>
      </c>
      <c r="AN34" s="306">
        <v>0.9</v>
      </c>
      <c r="AO34" s="168">
        <f>IF(AN34="","",AN34*'Tabella Carichi Unitari'!$G$17)</f>
        <v>6.7860000000000014</v>
      </c>
      <c r="AP34" s="168">
        <f>IF(AN34="","",AN34*'Tabella Carichi Unitari'!$H$17)</f>
        <v>0</v>
      </c>
      <c r="AQ34" s="168">
        <f>IF(AN34="","",AN34*'Tabella Carichi Unitari'!$C$17)</f>
        <v>5.2200000000000006</v>
      </c>
      <c r="AR34" s="110">
        <f>IF(AN34="","",AN34*'Tabella Carichi Unitari'!$K$17)</f>
        <v>0</v>
      </c>
      <c r="AS34" s="416">
        <v>0.9</v>
      </c>
      <c r="AT34" s="168">
        <f>IF(AS34="","",AS34*'Tabella Carichi Unitari'!$G$17)</f>
        <v>6.7860000000000014</v>
      </c>
      <c r="AU34" s="168">
        <f>IF(AS34="","",AS34*'Tabella Carichi Unitari'!$H$17)</f>
        <v>0</v>
      </c>
      <c r="AV34" s="168">
        <f>IF(AS34="","",AS34*'Tabella Carichi Unitari'!$C$17)</f>
        <v>5.2200000000000006</v>
      </c>
      <c r="AW34" s="110">
        <f>IF(AS34="","",AS34*'Tabella Carichi Unitari'!$K$17)</f>
        <v>0</v>
      </c>
      <c r="AX34" s="416">
        <v>0.9</v>
      </c>
      <c r="AY34" s="168">
        <f>IF(AX34="","",AX34*'Tabella Carichi Unitari'!$G$17)</f>
        <v>6.7860000000000014</v>
      </c>
      <c r="AZ34" s="168">
        <f>IF(AX34="","",AX34*'Tabella Carichi Unitari'!$H$17)</f>
        <v>0</v>
      </c>
      <c r="BA34" s="168">
        <f>IF(AX34="","",AX34*'Tabella Carichi Unitari'!$C$17)</f>
        <v>5.2200000000000006</v>
      </c>
      <c r="BB34" s="110">
        <f>IF(AX34="","",AX34*'Tabella Carichi Unitari'!$K$17)</f>
        <v>0</v>
      </c>
    </row>
    <row r="35" spans="1:54" x14ac:dyDescent="0.25">
      <c r="B35" s="306"/>
      <c r="C35" s="415">
        <f>SUM(C29:C34)</f>
        <v>11.644229999999999</v>
      </c>
      <c r="D35" s="415">
        <f>SUM(D29:D34)</f>
        <v>1.1542499999999998</v>
      </c>
      <c r="E35" s="415">
        <f>SUM(E29:E34)</f>
        <v>8.9570999999999987</v>
      </c>
      <c r="F35" s="415">
        <f>SUM(F29:F34)</f>
        <v>0</v>
      </c>
      <c r="G35" s="306"/>
      <c r="H35" s="415">
        <f>SUM(H29:H34)</f>
        <v>19.071376999999998</v>
      </c>
      <c r="I35" s="415">
        <f>SUM(I29:I34)</f>
        <v>9.2339999999999982</v>
      </c>
      <c r="J35" s="415">
        <f>SUM(J29:J34)</f>
        <v>14.670289999999998</v>
      </c>
      <c r="K35" s="415">
        <f>SUM(K29:K34)</f>
        <v>3.6935999999999991</v>
      </c>
      <c r="L35" s="306"/>
      <c r="M35" s="415">
        <f>SUM(M29:M34)</f>
        <v>20.046376999999996</v>
      </c>
      <c r="N35" s="415">
        <f>SUM(N29:N34)</f>
        <v>9.2339999999999982</v>
      </c>
      <c r="O35" s="415">
        <f>SUM(O29:O34)</f>
        <v>15.420289999999998</v>
      </c>
      <c r="P35" s="109">
        <f>SUM(P29:P34)</f>
        <v>3.6935999999999991</v>
      </c>
      <c r="Q35" s="416"/>
      <c r="R35" s="415">
        <f>SUM(R29:R34)</f>
        <v>15.083640000000001</v>
      </c>
      <c r="S35" s="415">
        <f t="shared" ref="S35:U35" si="0">SUM(S29:S34)</f>
        <v>1.5</v>
      </c>
      <c r="T35" s="415">
        <f t="shared" si="0"/>
        <v>11.6028</v>
      </c>
      <c r="U35" s="415">
        <f t="shared" si="0"/>
        <v>0.3</v>
      </c>
      <c r="V35" s="416"/>
      <c r="W35" s="415">
        <f>SUM(W29:W34)</f>
        <v>15.083640000000001</v>
      </c>
      <c r="X35" s="415">
        <f t="shared" ref="X35:Z35" si="1">SUM(X29:X34)</f>
        <v>1.5</v>
      </c>
      <c r="Y35" s="415">
        <f t="shared" si="1"/>
        <v>11.6028</v>
      </c>
      <c r="Z35" s="415">
        <f t="shared" si="1"/>
        <v>0.3</v>
      </c>
      <c r="AB35" s="416"/>
      <c r="AC35"/>
      <c r="AD35" s="306"/>
      <c r="AE35" s="415">
        <f>SUM(AE29:AE34)</f>
        <v>17.277000000000001</v>
      </c>
      <c r="AF35" s="415">
        <f>SUM(AF29:AF34)</f>
        <v>6.3374999999999995</v>
      </c>
      <c r="AG35" s="415">
        <f>SUM(AG29:AG34)</f>
        <v>13.290000000000001</v>
      </c>
      <c r="AH35" s="415">
        <f>SUM(AH29:AH34)</f>
        <v>1.17</v>
      </c>
      <c r="AI35" s="306"/>
      <c r="AJ35" s="415">
        <f>SUM(AJ29:AJ34)</f>
        <v>24.849395999999999</v>
      </c>
      <c r="AK35" s="415">
        <f>SUM(AK29:AK34)</f>
        <v>9.75</v>
      </c>
      <c r="AL35" s="415">
        <f>SUM(AL29:AL34)</f>
        <v>19.114919999999998</v>
      </c>
      <c r="AM35" s="415">
        <f>SUM(AM29:AM34)</f>
        <v>2.73</v>
      </c>
      <c r="AN35" s="306"/>
      <c r="AO35" s="415">
        <f>SUM(AO29:AO34)</f>
        <v>25.824396</v>
      </c>
      <c r="AP35" s="415">
        <f>SUM(AP29:AP34)</f>
        <v>9.75</v>
      </c>
      <c r="AQ35" s="415">
        <f>SUM(AQ29:AQ34)</f>
        <v>19.864919999999998</v>
      </c>
      <c r="AR35" s="109">
        <f>SUM(AR29:AR34)</f>
        <v>2.73</v>
      </c>
      <c r="AS35" s="416"/>
      <c r="AT35" s="415">
        <f>SUM(AT29:AT34)</f>
        <v>22.351445999999999</v>
      </c>
      <c r="AU35" s="415">
        <f t="shared" ref="AU35:AW35" si="2">SUM(AU29:AU34)</f>
        <v>5.85</v>
      </c>
      <c r="AV35" s="415">
        <f t="shared" si="2"/>
        <v>17.19342</v>
      </c>
      <c r="AW35" s="415">
        <f t="shared" si="2"/>
        <v>1.17</v>
      </c>
      <c r="AX35" s="416"/>
      <c r="AY35" s="415">
        <f>SUM(AY29:AY34)</f>
        <v>22.351445999999999</v>
      </c>
      <c r="AZ35" s="415">
        <f t="shared" ref="AZ35:BB35" si="3">SUM(AZ29:AZ34)</f>
        <v>5.85</v>
      </c>
      <c r="BA35" s="415">
        <f t="shared" si="3"/>
        <v>17.19342</v>
      </c>
      <c r="BB35" s="415">
        <f t="shared" si="3"/>
        <v>1.17</v>
      </c>
    </row>
    <row r="36" spans="1:54" x14ac:dyDescent="0.25">
      <c r="B36" s="412"/>
      <c r="C36" s="415">
        <f>C35+D35</f>
        <v>12.798479999999998</v>
      </c>
      <c r="D36" s="415"/>
      <c r="E36" s="612">
        <f>E35+F35</f>
        <v>8.9570999999999987</v>
      </c>
      <c r="F36" s="612"/>
      <c r="G36" s="412"/>
      <c r="H36" s="612">
        <f>H35+I35</f>
        <v>28.305376999999996</v>
      </c>
      <c r="I36" s="612"/>
      <c r="J36" s="612">
        <f>J35+K35</f>
        <v>18.363889999999998</v>
      </c>
      <c r="K36" s="612"/>
      <c r="L36" s="412"/>
      <c r="M36" s="612">
        <f>M35+N35</f>
        <v>29.280376999999994</v>
      </c>
      <c r="N36" s="612"/>
      <c r="O36" s="612">
        <f>O35+P35</f>
        <v>19.113889999999998</v>
      </c>
      <c r="P36" s="612"/>
      <c r="Q36" s="416"/>
      <c r="R36" s="612">
        <f>R35+S35</f>
        <v>16.583640000000003</v>
      </c>
      <c r="S36" s="612"/>
      <c r="T36" s="612">
        <f>T35+U35</f>
        <v>11.902800000000001</v>
      </c>
      <c r="U36" s="612"/>
      <c r="V36" s="416"/>
      <c r="W36" s="612">
        <f>W35+X35</f>
        <v>16.583640000000003</v>
      </c>
      <c r="X36" s="612"/>
      <c r="Y36" s="612">
        <f>Y35+Z35</f>
        <v>11.902800000000001</v>
      </c>
      <c r="Z36" s="612"/>
      <c r="AB36" s="416"/>
      <c r="AC36"/>
      <c r="AD36" s="412"/>
      <c r="AE36" s="612">
        <f>AE35+AF35</f>
        <v>23.6145</v>
      </c>
      <c r="AF36" s="612"/>
      <c r="AG36" s="612">
        <f>AG35+AH35</f>
        <v>14.46</v>
      </c>
      <c r="AH36" s="612"/>
      <c r="AI36" s="412"/>
      <c r="AJ36" s="612">
        <f>AJ35+AK35</f>
        <v>34.599395999999999</v>
      </c>
      <c r="AK36" s="612"/>
      <c r="AL36" s="612">
        <f>AL35+AM35</f>
        <v>21.844919999999998</v>
      </c>
      <c r="AM36" s="612"/>
      <c r="AN36" s="412"/>
      <c r="AO36" s="612">
        <f>AO35+AP35</f>
        <v>35.574396</v>
      </c>
      <c r="AP36" s="612"/>
      <c r="AQ36" s="612">
        <f>AQ35+AR35</f>
        <v>22.594919999999998</v>
      </c>
      <c r="AR36" s="612"/>
      <c r="AS36" s="416"/>
      <c r="AT36" s="612">
        <f>AT35+AU35</f>
        <v>28.201445999999997</v>
      </c>
      <c r="AU36" s="612"/>
      <c r="AV36" s="612">
        <f>AV35+AW35</f>
        <v>18.363419999999998</v>
      </c>
      <c r="AW36" s="612"/>
      <c r="AX36" s="416"/>
      <c r="AY36" s="612">
        <f>AY35+AZ35</f>
        <v>28.201445999999997</v>
      </c>
      <c r="AZ36" s="612"/>
      <c r="BA36" s="612">
        <f>BA35+BB35</f>
        <v>18.363419999999998</v>
      </c>
      <c r="BB36" s="612"/>
    </row>
    <row r="37" spans="1:54" x14ac:dyDescent="0.25">
      <c r="B37" s="416"/>
      <c r="G37" s="416"/>
      <c r="L37" s="416"/>
      <c r="Q37" s="416"/>
      <c r="V37" s="416"/>
      <c r="AB37" s="416"/>
      <c r="AC37" s="416"/>
      <c r="AD37" s="416"/>
      <c r="AE37" s="416"/>
      <c r="AF37" s="416"/>
      <c r="AG37" s="416"/>
      <c r="AH37" s="416"/>
      <c r="AI37" s="416"/>
      <c r="AJ37" s="416"/>
      <c r="AK37" s="416"/>
      <c r="AL37" s="416"/>
      <c r="AM37" s="416"/>
      <c r="AN37" s="416"/>
      <c r="AO37" s="416"/>
      <c r="AP37" s="416"/>
      <c r="AQ37" s="416"/>
      <c r="AR37" s="416"/>
      <c r="AS37" s="416"/>
      <c r="AT37" s="416"/>
      <c r="AU37" s="416"/>
      <c r="AV37" s="416"/>
      <c r="AW37" s="416"/>
    </row>
    <row r="38" spans="1:54" x14ac:dyDescent="0.25">
      <c r="A38" s="403" t="s">
        <v>393</v>
      </c>
      <c r="B38" s="416"/>
      <c r="C38" t="s">
        <v>399</v>
      </c>
      <c r="G38" s="416"/>
      <c r="H38" t="s">
        <v>400</v>
      </c>
      <c r="L38" s="416"/>
      <c r="M38" t="s">
        <v>401</v>
      </c>
      <c r="Q38" s="416"/>
      <c r="R38" t="s">
        <v>232</v>
      </c>
      <c r="V38" s="416"/>
      <c r="W38" t="s">
        <v>402</v>
      </c>
      <c r="AB38" s="416"/>
      <c r="AC38" s="403" t="s">
        <v>393</v>
      </c>
      <c r="AD38" s="416"/>
      <c r="AE38" t="s">
        <v>399</v>
      </c>
      <c r="AF38"/>
      <c r="AG38"/>
      <c r="AH38"/>
      <c r="AI38" s="416"/>
      <c r="AJ38" t="s">
        <v>400</v>
      </c>
      <c r="AK38"/>
      <c r="AL38"/>
      <c r="AM38"/>
      <c r="AN38" s="416"/>
      <c r="AO38" t="s">
        <v>401</v>
      </c>
      <c r="AP38"/>
      <c r="AQ38"/>
      <c r="AR38"/>
      <c r="AS38" s="416"/>
      <c r="AT38" t="s">
        <v>232</v>
      </c>
      <c r="AU38"/>
      <c r="AV38"/>
      <c r="AW38"/>
      <c r="AX38" s="416"/>
      <c r="AY38" t="s">
        <v>402</v>
      </c>
    </row>
    <row r="39" spans="1:54" x14ac:dyDescent="0.25">
      <c r="A39" s="404" t="s">
        <v>404</v>
      </c>
      <c r="B39" s="416"/>
      <c r="G39" s="416"/>
      <c r="L39" s="416"/>
      <c r="Q39" s="416"/>
      <c r="V39" s="416"/>
      <c r="AB39" s="416"/>
      <c r="AC39" s="404" t="s">
        <v>431</v>
      </c>
      <c r="AD39" s="416"/>
      <c r="AE39"/>
      <c r="AF39"/>
      <c r="AG39"/>
      <c r="AH39"/>
      <c r="AI39" s="416"/>
      <c r="AJ39"/>
      <c r="AK39"/>
      <c r="AL39"/>
      <c r="AM39"/>
      <c r="AN39" s="416"/>
      <c r="AO39"/>
      <c r="AP39"/>
      <c r="AQ39"/>
      <c r="AR39"/>
      <c r="AS39" s="416"/>
      <c r="AT39"/>
      <c r="AU39"/>
      <c r="AV39"/>
      <c r="AW39"/>
      <c r="AX39" s="416"/>
    </row>
    <row r="40" spans="1:54" x14ac:dyDescent="0.25">
      <c r="A40" s="136"/>
      <c r="B40" s="412"/>
      <c r="C40" s="416" t="s">
        <v>386</v>
      </c>
      <c r="D40" s="416" t="s">
        <v>396</v>
      </c>
      <c r="E40" s="416" t="s">
        <v>288</v>
      </c>
      <c r="F40" s="411" t="s">
        <v>406</v>
      </c>
      <c r="G40" s="412"/>
      <c r="H40" s="416" t="s">
        <v>386</v>
      </c>
      <c r="I40" s="416" t="s">
        <v>396</v>
      </c>
      <c r="J40" s="416" t="s">
        <v>288</v>
      </c>
      <c r="K40" s="411" t="s">
        <v>407</v>
      </c>
      <c r="L40" s="412"/>
      <c r="M40" s="416" t="s">
        <v>386</v>
      </c>
      <c r="N40" s="416" t="s">
        <v>396</v>
      </c>
      <c r="O40" s="416" t="s">
        <v>288</v>
      </c>
      <c r="P40" s="411" t="s">
        <v>407</v>
      </c>
      <c r="Q40" s="306"/>
      <c r="R40" s="416" t="s">
        <v>386</v>
      </c>
      <c r="S40" s="416" t="s">
        <v>396</v>
      </c>
      <c r="T40" s="416" t="s">
        <v>288</v>
      </c>
      <c r="U40" s="411" t="s">
        <v>407</v>
      </c>
      <c r="V40" s="306"/>
      <c r="W40" s="416" t="s">
        <v>386</v>
      </c>
      <c r="X40" s="416" t="s">
        <v>396</v>
      </c>
      <c r="Y40" s="416" t="s">
        <v>288</v>
      </c>
      <c r="Z40" s="411" t="s">
        <v>407</v>
      </c>
      <c r="AB40" s="416"/>
      <c r="AC40"/>
      <c r="AD40" s="306"/>
      <c r="AE40" s="416" t="s">
        <v>386</v>
      </c>
      <c r="AF40" s="416" t="s">
        <v>396</v>
      </c>
      <c r="AG40" s="416" t="s">
        <v>288</v>
      </c>
      <c r="AH40" s="418" t="s">
        <v>406</v>
      </c>
      <c r="AI40" s="306"/>
      <c r="AJ40" s="416" t="s">
        <v>386</v>
      </c>
      <c r="AK40" s="416" t="s">
        <v>396</v>
      </c>
      <c r="AL40" s="416" t="s">
        <v>288</v>
      </c>
      <c r="AM40" s="418" t="s">
        <v>407</v>
      </c>
      <c r="AN40" s="306"/>
      <c r="AO40" s="416" t="s">
        <v>386</v>
      </c>
      <c r="AP40" s="416" t="s">
        <v>396</v>
      </c>
      <c r="AQ40" s="416" t="s">
        <v>288</v>
      </c>
      <c r="AR40" s="411" t="s">
        <v>407</v>
      </c>
      <c r="AS40" s="306"/>
      <c r="AT40" s="416" t="s">
        <v>386</v>
      </c>
      <c r="AU40" s="416" t="s">
        <v>396</v>
      </c>
      <c r="AV40" s="416" t="s">
        <v>288</v>
      </c>
      <c r="AW40" s="411" t="s">
        <v>407</v>
      </c>
      <c r="AX40" s="306"/>
      <c r="AY40" s="416" t="s">
        <v>386</v>
      </c>
      <c r="AZ40" s="416" t="s">
        <v>396</v>
      </c>
      <c r="BA40" s="416" t="s">
        <v>288</v>
      </c>
      <c r="BB40" s="411" t="s">
        <v>407</v>
      </c>
    </row>
    <row r="41" spans="1:54" x14ac:dyDescent="0.25">
      <c r="A41" s="136" t="s">
        <v>312</v>
      </c>
      <c r="B41" s="416"/>
      <c r="C41" s="415" t="str">
        <f>IF(B41="","",B41*'Tabella Carichi Unitari'!$G$8)</f>
        <v/>
      </c>
      <c r="D41" s="415" t="str">
        <f>IF(B41="","",B41*'Tabella Carichi Unitari'!$H$8)</f>
        <v/>
      </c>
      <c r="E41" s="415" t="str">
        <f>IF(B41="","",B41*'Tabella Carichi Unitari'!$C$8)</f>
        <v/>
      </c>
      <c r="F41" s="109" t="str">
        <f>IF(B41="","",B41*'Tabella Carichi Unitari'!$K$8)</f>
        <v/>
      </c>
      <c r="G41" s="416"/>
      <c r="H41" s="415" t="str">
        <f>IF(G41="","",G41*'Tabella Carichi Unitari'!$G$5)</f>
        <v/>
      </c>
      <c r="I41" s="415" t="str">
        <f>IF(G41="","",G41*'Tabella Carichi Unitari'!$H$5)</f>
        <v/>
      </c>
      <c r="J41" s="415" t="str">
        <f>IF(G41="","",G41*'Tabella Carichi Unitari'!$C$5)</f>
        <v/>
      </c>
      <c r="K41" s="109" t="str">
        <f>IF(G41="","",G41*'Tabella Carichi Unitari'!$K$5)</f>
        <v/>
      </c>
      <c r="L41" s="416"/>
      <c r="M41" s="415" t="str">
        <f>IF(L41="","",L41*'Tabella Carichi Unitari'!$G$5)</f>
        <v/>
      </c>
      <c r="N41" s="415" t="str">
        <f>IF(L41="","",L41*'Tabella Carichi Unitari'!$H$5)</f>
        <v/>
      </c>
      <c r="O41" s="415" t="str">
        <f>IF(L41="","",L41*'Tabella Carichi Unitari'!$C$5)</f>
        <v/>
      </c>
      <c r="P41" s="109" t="str">
        <f>IF(L41="","",L41*'Tabella Carichi Unitari'!$K$5)</f>
        <v/>
      </c>
      <c r="Q41" s="416">
        <v>0.5</v>
      </c>
      <c r="R41" s="415">
        <f>IF(Q41="","",Q41*'Tabella Carichi Unitari'!$G$5)</f>
        <v>2.5061399999999998</v>
      </c>
      <c r="S41" s="415">
        <f>IF(Q41="","",Q41*'Tabella Carichi Unitari'!$H$5)</f>
        <v>1.5</v>
      </c>
      <c r="T41" s="415">
        <f>IF(Q41="","",Q41*'Tabella Carichi Unitari'!$C$5)</f>
        <v>1.9277999999999997</v>
      </c>
      <c r="U41" s="109">
        <f>IF(Q41="","",Q41*'Tabella Carichi Unitari'!$K$5)</f>
        <v>0.3</v>
      </c>
      <c r="V41" s="416">
        <v>0.5</v>
      </c>
      <c r="W41" s="415">
        <f>IF(V41="","",V41*'Tabella Carichi Unitari'!$G$5)</f>
        <v>2.5061399999999998</v>
      </c>
      <c r="X41" s="415">
        <f>IF(V41="","",V41*'Tabella Carichi Unitari'!$H$5)</f>
        <v>1.5</v>
      </c>
      <c r="Y41" s="415">
        <f>IF(V41="","",V41*'Tabella Carichi Unitari'!$C$5)</f>
        <v>1.9277999999999997</v>
      </c>
      <c r="Z41" s="109">
        <f>IF(V41="","",V41*'Tabella Carichi Unitari'!$K$5)</f>
        <v>0.3</v>
      </c>
      <c r="AB41" s="416"/>
      <c r="AC41" t="s">
        <v>312</v>
      </c>
      <c r="AD41" s="106">
        <f>(3.5/2)*1</f>
        <v>1.75</v>
      </c>
      <c r="AE41" s="415">
        <f>IF(AD41="","",AD41*'Tabella Carichi Unitari'!$G$8)</f>
        <v>9.1</v>
      </c>
      <c r="AF41" s="415">
        <f>IF(AD41="","",AD41*'Tabella Carichi Unitari'!$H$8)</f>
        <v>5.25</v>
      </c>
      <c r="AG41" s="415">
        <f>IF(AD41="","",AD41*'Tabella Carichi Unitari'!$C$8)</f>
        <v>7</v>
      </c>
      <c r="AH41" s="415">
        <f>IF(AD41="","",AD41*'Tabella Carichi Unitari'!$K$8)</f>
        <v>1.05</v>
      </c>
      <c r="AI41" s="106">
        <f>AD41</f>
        <v>1.75</v>
      </c>
      <c r="AJ41" s="415">
        <f>IF(AI41="","",AI41*'Tabella Carichi Unitari'!$G$5)</f>
        <v>8.77149</v>
      </c>
      <c r="AK41" s="415">
        <f>IF(AI41="","",AI41*'Tabella Carichi Unitari'!$H$5)</f>
        <v>5.25</v>
      </c>
      <c r="AL41" s="415">
        <f>IF(AI41="","",AI41*'Tabella Carichi Unitari'!$C$5)</f>
        <v>6.7472999999999992</v>
      </c>
      <c r="AM41" s="415">
        <f>IF(AI41="","",AI41*'Tabella Carichi Unitari'!$K$5)</f>
        <v>1.05</v>
      </c>
      <c r="AN41" s="106">
        <f>AD41</f>
        <v>1.75</v>
      </c>
      <c r="AO41" s="415">
        <f>IF(AN41="","",AN41*'Tabella Carichi Unitari'!$G$5)</f>
        <v>8.77149</v>
      </c>
      <c r="AP41" s="415">
        <f>IF(AN41="","",AN41*'Tabella Carichi Unitari'!$H$5)</f>
        <v>5.25</v>
      </c>
      <c r="AQ41" s="415">
        <f>IF(AN41="","",AN41*'Tabella Carichi Unitari'!$C$5)</f>
        <v>6.7472999999999992</v>
      </c>
      <c r="AR41" s="109">
        <f>IF(AN41="","",AN41*'Tabella Carichi Unitari'!$K$5)</f>
        <v>1.05</v>
      </c>
      <c r="AS41" s="415">
        <f>AD41</f>
        <v>1.75</v>
      </c>
      <c r="AT41" s="415">
        <f>IF(AS41="","",AS41*'Tabella Carichi Unitari'!$G$5)</f>
        <v>8.77149</v>
      </c>
      <c r="AU41" s="415">
        <f>IF(AS41="","",AS41*'Tabella Carichi Unitari'!$H$5)</f>
        <v>5.25</v>
      </c>
      <c r="AV41" s="415">
        <f>IF(AS41="","",AS41*'Tabella Carichi Unitari'!$C$5)</f>
        <v>6.7472999999999992</v>
      </c>
      <c r="AW41" s="109">
        <f>IF(AS41="","",AS41*'Tabella Carichi Unitari'!$K$5)</f>
        <v>1.05</v>
      </c>
      <c r="AX41" s="415">
        <f>AD41</f>
        <v>1.75</v>
      </c>
      <c r="AY41" s="415">
        <f>IF(AX41="","",AX41*'Tabella Carichi Unitari'!$G$5)</f>
        <v>8.77149</v>
      </c>
      <c r="AZ41" s="415">
        <f>IF(AX41="","",AX41*'Tabella Carichi Unitari'!$H$5)</f>
        <v>5.25</v>
      </c>
      <c r="BA41" s="415">
        <f>IF(AX41="","",AX41*'Tabella Carichi Unitari'!$C$5)</f>
        <v>6.7472999999999992</v>
      </c>
      <c r="BB41" s="109">
        <f>IF(AX41="","",AX41*'Tabella Carichi Unitari'!$K$5)</f>
        <v>1.05</v>
      </c>
    </row>
    <row r="42" spans="1:54" x14ac:dyDescent="0.25">
      <c r="A42" s="136" t="s">
        <v>314</v>
      </c>
      <c r="B42" s="429">
        <f>(1.2+0.15)*2*0.41</f>
        <v>1.1069999999999998</v>
      </c>
      <c r="C42" s="415">
        <f>IF(B42="","",B42*'Tabella Carichi Unitari'!$G$11)</f>
        <v>5.6124899999999993</v>
      </c>
      <c r="D42" s="415">
        <f>IF(B42="","",B42*'Tabella Carichi Unitari'!$H$11)</f>
        <v>0.83024999999999982</v>
      </c>
      <c r="E42" s="415">
        <f>IF(B42="","",B42*'Tabella Carichi Unitari'!$C$11)</f>
        <v>4.3172999999999986</v>
      </c>
      <c r="F42" s="109">
        <f>IF(B42="","",B42*'Tabella Carichi Unitari'!$K$11)</f>
        <v>0</v>
      </c>
      <c r="G42" s="429">
        <f>B42</f>
        <v>1.1069999999999998</v>
      </c>
      <c r="H42" s="415">
        <f>IF(G42="","",G42*'Tabella Carichi Unitari'!$G$10)</f>
        <v>5.9147009999999973</v>
      </c>
      <c r="I42" s="415">
        <f>IF(G42="","",G42*'Tabella Carichi Unitari'!$H$10)</f>
        <v>6.6419999999999986</v>
      </c>
      <c r="J42" s="415">
        <f>IF(G42="","",G42*'Tabella Carichi Unitari'!$C$10)</f>
        <v>4.5497699999999988</v>
      </c>
      <c r="K42" s="109">
        <f>IF(G42="","",G42*'Tabella Carichi Unitari'!$K$10)</f>
        <v>2.6567999999999992</v>
      </c>
      <c r="L42" s="429">
        <f>B42</f>
        <v>1.1069999999999998</v>
      </c>
      <c r="M42" s="415">
        <f>IF(L42="","",L42*'Tabella Carichi Unitari'!$G$10)</f>
        <v>5.9147009999999973</v>
      </c>
      <c r="N42" s="415">
        <f>IF(L42="","",L42*'Tabella Carichi Unitari'!$H$10)</f>
        <v>6.6419999999999986</v>
      </c>
      <c r="O42" s="415">
        <f>IF(L42="","",L42*'Tabella Carichi Unitari'!$C$10)</f>
        <v>4.5497699999999988</v>
      </c>
      <c r="P42" s="109">
        <f>IF(L42="","",L42*'Tabella Carichi Unitari'!$K$10)</f>
        <v>2.6567999999999992</v>
      </c>
      <c r="Q42" s="416"/>
      <c r="R42" s="415" t="str">
        <f>IF(Q42="","",Q42*'Tabella Carichi Unitari'!$G$10)</f>
        <v/>
      </c>
      <c r="S42" s="415" t="str">
        <f>IF(Q42="","",Q42*'Tabella Carichi Unitari'!$H$10)</f>
        <v/>
      </c>
      <c r="T42" s="415" t="str">
        <f>IF(Q42="","",Q42*'Tabella Carichi Unitari'!$C$10)</f>
        <v/>
      </c>
      <c r="U42" s="109" t="str">
        <f>IF(Q42="","",Q42*'Tabella Carichi Unitari'!$K$10)</f>
        <v/>
      </c>
      <c r="V42" s="416"/>
      <c r="W42" s="415" t="str">
        <f>IF(V42="","",V42*'Tabella Carichi Unitari'!$G$10)</f>
        <v/>
      </c>
      <c r="X42" s="415" t="str">
        <f>IF(V42="","",V42*'Tabella Carichi Unitari'!$H$10)</f>
        <v/>
      </c>
      <c r="Y42" s="415" t="str">
        <f>IF(V42="","",V42*'Tabella Carichi Unitari'!$C$10)</f>
        <v/>
      </c>
      <c r="Z42" s="109" t="str">
        <f>IF(V42="","",V42*'Tabella Carichi Unitari'!$K$10)</f>
        <v/>
      </c>
      <c r="AB42" s="416"/>
      <c r="AC42" t="s">
        <v>314</v>
      </c>
      <c r="AD42" s="106">
        <f>(1.2+0.15)*0.51</f>
        <v>0.68849999999999989</v>
      </c>
      <c r="AE42" s="415">
        <f>IF(AD42="","",AD42*'Tabella Carichi Unitari'!$G$11)</f>
        <v>3.4906949999999997</v>
      </c>
      <c r="AF42" s="415">
        <f>IF(AD42="","",AD42*'Tabella Carichi Unitari'!$H$11)</f>
        <v>0.51637499999999992</v>
      </c>
      <c r="AG42" s="415">
        <f>IF(AD42="","",AD42*'Tabella Carichi Unitari'!$C$11)</f>
        <v>2.6851499999999997</v>
      </c>
      <c r="AH42" s="415">
        <f>IF(AD42="","",AD42*'Tabella Carichi Unitari'!$K$11)</f>
        <v>0</v>
      </c>
      <c r="AI42" s="106">
        <f>AD42</f>
        <v>0.68849999999999989</v>
      </c>
      <c r="AJ42" s="415">
        <f>IF(AI42="","",AI42*'Tabella Carichi Unitari'!$G$10)</f>
        <v>3.6786554999999987</v>
      </c>
      <c r="AK42" s="415">
        <f>IF(AI42="","",AI42*'Tabella Carichi Unitari'!$H$10)</f>
        <v>4.1309999999999993</v>
      </c>
      <c r="AL42" s="415">
        <f>IF(AI42="","",AI42*'Tabella Carichi Unitari'!$C$10)</f>
        <v>2.829734999999999</v>
      </c>
      <c r="AM42" s="415">
        <f>IF(AI42="","",AI42*'Tabella Carichi Unitari'!$K$10)</f>
        <v>1.6523999999999996</v>
      </c>
      <c r="AN42" s="106">
        <f>AD42</f>
        <v>0.68849999999999989</v>
      </c>
      <c r="AO42" s="415">
        <f>IF(AN42="","",AN42*'Tabella Carichi Unitari'!$G$10)</f>
        <v>3.6786554999999987</v>
      </c>
      <c r="AP42" s="415">
        <f>IF(AN42="","",AN42*'Tabella Carichi Unitari'!$H$10)</f>
        <v>4.1309999999999993</v>
      </c>
      <c r="AQ42" s="415">
        <f>IF(AN42="","",AN42*'Tabella Carichi Unitari'!$C$10)</f>
        <v>2.829734999999999</v>
      </c>
      <c r="AR42" s="109">
        <f>IF(AN42="","",AN42*'Tabella Carichi Unitari'!$K$10)</f>
        <v>1.6523999999999996</v>
      </c>
      <c r="AS42" s="416"/>
      <c r="AT42" s="415" t="str">
        <f>IF(AS42="","",AS42*'Tabella Carichi Unitari'!$G$10)</f>
        <v/>
      </c>
      <c r="AU42" s="415" t="str">
        <f>IF(AS42="","",AS42*'Tabella Carichi Unitari'!$H$10)</f>
        <v/>
      </c>
      <c r="AV42" s="415" t="str">
        <f>IF(AS42="","",AS42*'Tabella Carichi Unitari'!$C$10)</f>
        <v/>
      </c>
      <c r="AW42" s="109" t="str">
        <f>IF(AS42="","",AS42*'Tabella Carichi Unitari'!$K$10)</f>
        <v/>
      </c>
      <c r="AX42" s="416"/>
      <c r="AY42" s="415" t="str">
        <f>IF(AX42="","",AX42*'Tabella Carichi Unitari'!$G$10)</f>
        <v/>
      </c>
      <c r="AZ42" s="415" t="str">
        <f>IF(AX42="","",AX42*'Tabella Carichi Unitari'!$H$10)</f>
        <v/>
      </c>
      <c r="BA42" s="415" t="str">
        <f>IF(AX42="","",AX42*'Tabella Carichi Unitari'!$C$10)</f>
        <v/>
      </c>
      <c r="BB42" s="109" t="str">
        <f>IF(AX42="","",AX42*'Tabella Carichi Unitari'!$K$10)</f>
        <v/>
      </c>
    </row>
    <row r="43" spans="1:54" x14ac:dyDescent="0.25">
      <c r="A43" s="136" t="s">
        <v>315</v>
      </c>
      <c r="B43" s="416"/>
      <c r="C43" s="415" t="str">
        <f>IF(B43="","",B43*'Tabella Carichi Unitari'!$G$12)</f>
        <v/>
      </c>
      <c r="D43" s="415" t="str">
        <f>IF(B43="","",B43*'Tabella Carichi Unitari'!$H$12)</f>
        <v/>
      </c>
      <c r="E43" s="415" t="str">
        <f>IF(B43="","",B43*'Tabella Carichi Unitari'!$C$12)</f>
        <v/>
      </c>
      <c r="F43" s="109" t="str">
        <f>IF(B43="","",B43*'Tabella Carichi Unitari'!$K$12)</f>
        <v/>
      </c>
      <c r="G43" s="416"/>
      <c r="H43" s="415" t="str">
        <f>IF(G43="","",G43*'Tabella Carichi Unitari'!$G$12)</f>
        <v/>
      </c>
      <c r="I43" s="415" t="str">
        <f>IF(G43="","",G43*'Tabella Carichi Unitari'!$H$12)</f>
        <v/>
      </c>
      <c r="J43" s="415" t="str">
        <f>IF(G43="","",G43*'Tabella Carichi Unitari'!$C$12)</f>
        <v/>
      </c>
      <c r="K43" s="109" t="str">
        <f>IF(G43="","",G43*'Tabella Carichi Unitari'!$K$12)</f>
        <v/>
      </c>
      <c r="L43" s="416"/>
      <c r="M43" s="415" t="str">
        <f>IF(L43="","",L43*'Tabella Carichi Unitari'!$G$12)</f>
        <v/>
      </c>
      <c r="N43" s="415" t="str">
        <f>IF(L43="","",L43*'Tabella Carichi Unitari'!$H$12)</f>
        <v/>
      </c>
      <c r="O43" s="415" t="str">
        <f>IF(L43="","",L43*'Tabella Carichi Unitari'!$C$12)</f>
        <v/>
      </c>
      <c r="P43" s="109" t="str">
        <f>IF(L43="","",L43*'Tabella Carichi Unitari'!$K$12)</f>
        <v/>
      </c>
      <c r="Q43" s="416"/>
      <c r="R43" s="415" t="str">
        <f>IF(Q43="","",Q43*'Tabella Carichi Unitari'!$G$12)</f>
        <v/>
      </c>
      <c r="S43" s="415" t="str">
        <f>IF(Q43="","",Q43*'Tabella Carichi Unitari'!$H$12)</f>
        <v/>
      </c>
      <c r="T43" s="415" t="str">
        <f>IF(Q43="","",Q43*'Tabella Carichi Unitari'!$C$12)</f>
        <v/>
      </c>
      <c r="U43" s="109" t="str">
        <f>IF(Q43="","",Q43*'Tabella Carichi Unitari'!$K$12)</f>
        <v/>
      </c>
      <c r="V43" s="416"/>
      <c r="W43" s="415" t="str">
        <f>IF(V43="","",V43*'Tabella Carichi Unitari'!$G$12)</f>
        <v/>
      </c>
      <c r="X43" s="415" t="str">
        <f>IF(V43="","",V43*'Tabella Carichi Unitari'!$H$12)</f>
        <v/>
      </c>
      <c r="Y43" s="415" t="str">
        <f>IF(V43="","",V43*'Tabella Carichi Unitari'!$C$12)</f>
        <v/>
      </c>
      <c r="Z43" s="109" t="str">
        <f>IF(V43="","",V43*'Tabella Carichi Unitari'!$K$12)</f>
        <v/>
      </c>
      <c r="AB43" s="416"/>
      <c r="AC43" t="s">
        <v>315</v>
      </c>
      <c r="AD43" s="106"/>
      <c r="AE43" s="415" t="str">
        <f>IF(AD43="","",AD43*'Tabella Carichi Unitari'!$G$12)</f>
        <v/>
      </c>
      <c r="AF43" s="415" t="str">
        <f>IF(AD43="","",AD43*'Tabella Carichi Unitari'!$H$12)</f>
        <v/>
      </c>
      <c r="AG43" s="415" t="str">
        <f>IF(AD43="","",AD43*'Tabella Carichi Unitari'!$C$12)</f>
        <v/>
      </c>
      <c r="AH43" s="415" t="str">
        <f>IF(AD43="","",AD43*'Tabella Carichi Unitari'!$K$12)</f>
        <v/>
      </c>
      <c r="AI43" s="106"/>
      <c r="AJ43" s="415" t="str">
        <f>IF(AI43="","",AI43*'Tabella Carichi Unitari'!$G$12)</f>
        <v/>
      </c>
      <c r="AK43" s="415" t="str">
        <f>IF(AI43="","",AI43*'Tabella Carichi Unitari'!$H$12)</f>
        <v/>
      </c>
      <c r="AL43" s="415" t="str">
        <f>IF(AI43="","",AI43*'Tabella Carichi Unitari'!$C$12)</f>
        <v/>
      </c>
      <c r="AM43" s="415" t="str">
        <f>IF(AI43="","",AI43*'Tabella Carichi Unitari'!$K$12)</f>
        <v/>
      </c>
      <c r="AN43" s="106"/>
      <c r="AO43" s="415" t="str">
        <f>IF(AN43="","",AN43*'Tabella Carichi Unitari'!$G$12)</f>
        <v/>
      </c>
      <c r="AP43" s="415" t="str">
        <f>IF(AN43="","",AN43*'Tabella Carichi Unitari'!$H$12)</f>
        <v/>
      </c>
      <c r="AQ43" s="415" t="str">
        <f>IF(AN43="","",AN43*'Tabella Carichi Unitari'!$C$12)</f>
        <v/>
      </c>
      <c r="AR43" s="109" t="str">
        <f>IF(AN43="","",AN43*'Tabella Carichi Unitari'!$K$12)</f>
        <v/>
      </c>
      <c r="AS43" s="416"/>
      <c r="AT43" s="415" t="str">
        <f>IF(AS43="","",AS43*'Tabella Carichi Unitari'!$G$12)</f>
        <v/>
      </c>
      <c r="AU43" s="415" t="str">
        <f>IF(AS43="","",AS43*'Tabella Carichi Unitari'!$H$12)</f>
        <v/>
      </c>
      <c r="AV43" s="415" t="str">
        <f>IF(AS43="","",AS43*'Tabella Carichi Unitari'!$C$12)</f>
        <v/>
      </c>
      <c r="AW43" s="109" t="str">
        <f>IF(AS43="","",AS43*'Tabella Carichi Unitari'!$K$12)</f>
        <v/>
      </c>
      <c r="AX43" s="416"/>
      <c r="AY43" s="415" t="str">
        <f>IF(AX43="","",AX43*'Tabella Carichi Unitari'!$G$12)</f>
        <v/>
      </c>
      <c r="AZ43" s="415" t="str">
        <f>IF(AX43="","",AX43*'Tabella Carichi Unitari'!$H$12)</f>
        <v/>
      </c>
      <c r="BA43" s="415" t="str">
        <f>IF(AX43="","",AX43*'Tabella Carichi Unitari'!$C$12)</f>
        <v/>
      </c>
      <c r="BB43" s="109" t="str">
        <f>IF(AX43="","",AX43*'Tabella Carichi Unitari'!$K$12)</f>
        <v/>
      </c>
    </row>
    <row r="44" spans="1:54" x14ac:dyDescent="0.25">
      <c r="A44" s="136" t="s">
        <v>391</v>
      </c>
      <c r="B44" s="416">
        <v>1</v>
      </c>
      <c r="C44" s="415">
        <f>IF(B44="","",B44*'Tabella Carichi Unitari'!$G$15)</f>
        <v>3.8415000000000004</v>
      </c>
      <c r="D44" s="415">
        <f>IF(B44="","",B44*'Tabella Carichi Unitari'!$H$15)</f>
        <v>0</v>
      </c>
      <c r="E44" s="415">
        <f>IF(B44="","",B44*'Tabella Carichi Unitari'!$C$15)</f>
        <v>2.9550000000000001</v>
      </c>
      <c r="F44" s="109">
        <f>IF(B44="","",B44*'Tabella Carichi Unitari'!$K$15)</f>
        <v>0</v>
      </c>
      <c r="G44" s="416">
        <v>1</v>
      </c>
      <c r="H44" s="415">
        <f>IF(G44="","",G44*'Tabella Carichi Unitari'!$G$14)</f>
        <v>4.8165000000000004</v>
      </c>
      <c r="I44" s="415">
        <f>IF(G44="","",G44*'Tabella Carichi Unitari'!$H$14)</f>
        <v>0</v>
      </c>
      <c r="J44" s="415">
        <f>IF(G44="","",G44*'Tabella Carichi Unitari'!$C$14)</f>
        <v>3.7050000000000001</v>
      </c>
      <c r="K44" s="109">
        <f>IF(G44="","",G44*'Tabella Carichi Unitari'!$K$14)</f>
        <v>0</v>
      </c>
      <c r="L44" s="416">
        <v>1</v>
      </c>
      <c r="M44" s="415">
        <f>IF(L44="","",L44*'Tabella Carichi Unitari'!$G$13)</f>
        <v>5.7915000000000001</v>
      </c>
      <c r="N44" s="415">
        <f>IF(L44="","",L44*'Tabella Carichi Unitari'!$H$13)</f>
        <v>0</v>
      </c>
      <c r="O44" s="415">
        <f>IF(L44="","",L44*'Tabella Carichi Unitari'!$C$13)</f>
        <v>4.4550000000000001</v>
      </c>
      <c r="P44" s="109">
        <f>IF(L44="","",L44*'Tabella Carichi Unitari'!$K$13)</f>
        <v>0</v>
      </c>
      <c r="Q44" s="416">
        <v>1</v>
      </c>
      <c r="R44" s="415">
        <f>IF(Q44="","",Q44*'Tabella Carichi Unitari'!$G$13)</f>
        <v>5.7915000000000001</v>
      </c>
      <c r="S44" s="415">
        <f>IF(Q44="","",Q44*'Tabella Carichi Unitari'!$H$13)</f>
        <v>0</v>
      </c>
      <c r="T44" s="415">
        <f>IF(Q44="","",Q44*'Tabella Carichi Unitari'!$C$13)</f>
        <v>4.4550000000000001</v>
      </c>
      <c r="U44" s="109">
        <f>IF(Q44="","",Q44*'Tabella Carichi Unitari'!$K$13)</f>
        <v>0</v>
      </c>
      <c r="V44" s="416">
        <v>1</v>
      </c>
      <c r="W44" s="415">
        <f>IF(V44="","",V44*'Tabella Carichi Unitari'!$G$13)</f>
        <v>5.7915000000000001</v>
      </c>
      <c r="X44" s="415">
        <f>IF(V44="","",V44*'Tabella Carichi Unitari'!$H$13)</f>
        <v>0</v>
      </c>
      <c r="Y44" s="415">
        <f>IF(V44="","",V44*'Tabella Carichi Unitari'!$C$13)</f>
        <v>4.4550000000000001</v>
      </c>
      <c r="Z44" s="109">
        <f>IF(V44="","",V44*'Tabella Carichi Unitari'!$K$13)</f>
        <v>0</v>
      </c>
      <c r="AB44" s="416"/>
      <c r="AC44" t="s">
        <v>391</v>
      </c>
      <c r="AD44" s="306">
        <v>1</v>
      </c>
      <c r="AE44" s="415">
        <f>IF(AD44="","",AD44*'Tabella Carichi Unitari'!$G$15)</f>
        <v>3.8415000000000004</v>
      </c>
      <c r="AF44" s="415">
        <f>IF(AD44="","",AD44*'Tabella Carichi Unitari'!$H$15)</f>
        <v>0</v>
      </c>
      <c r="AG44" s="415">
        <f>IF(AD44="","",AD44*'Tabella Carichi Unitari'!$C$15)</f>
        <v>2.9550000000000001</v>
      </c>
      <c r="AH44" s="415">
        <f>IF(AD44="","",AD44*'Tabella Carichi Unitari'!$K$15)</f>
        <v>0</v>
      </c>
      <c r="AI44" s="306">
        <v>1</v>
      </c>
      <c r="AJ44" s="415">
        <f>IF(AI44="","",AI44*'Tabella Carichi Unitari'!$G$14)</f>
        <v>4.8165000000000004</v>
      </c>
      <c r="AK44" s="415">
        <f>IF(AI44="","",AI44*'Tabella Carichi Unitari'!$H$14)</f>
        <v>0</v>
      </c>
      <c r="AL44" s="415">
        <f>IF(AI44="","",AI44*'Tabella Carichi Unitari'!$C$14)</f>
        <v>3.7050000000000001</v>
      </c>
      <c r="AM44" s="415">
        <f>IF(AI44="","",AI44*'Tabella Carichi Unitari'!$K$14)</f>
        <v>0</v>
      </c>
      <c r="AN44" s="306">
        <v>1</v>
      </c>
      <c r="AO44" s="415">
        <f>IF(AN44="","",AN44*'Tabella Carichi Unitari'!$G$13)</f>
        <v>5.7915000000000001</v>
      </c>
      <c r="AP44" s="415">
        <f>IF(AN44="","",AN44*'Tabella Carichi Unitari'!$H$13)</f>
        <v>0</v>
      </c>
      <c r="AQ44" s="415">
        <f>IF(AN44="","",AN44*'Tabella Carichi Unitari'!$C$13)</f>
        <v>4.4550000000000001</v>
      </c>
      <c r="AR44" s="109">
        <f>IF(AN44="","",AN44*'Tabella Carichi Unitari'!$K$13)</f>
        <v>0</v>
      </c>
      <c r="AS44" s="416">
        <v>1</v>
      </c>
      <c r="AT44" s="415">
        <f>IF(AS44="","",AS44*'Tabella Carichi Unitari'!$G$13)</f>
        <v>5.7915000000000001</v>
      </c>
      <c r="AU44" s="415">
        <f>IF(AS44="","",AS44*'Tabella Carichi Unitari'!$H$13)</f>
        <v>0</v>
      </c>
      <c r="AV44" s="415">
        <f>IF(AS44="","",AS44*'Tabella Carichi Unitari'!$C$13)</f>
        <v>4.4550000000000001</v>
      </c>
      <c r="AW44" s="109">
        <f>IF(AS44="","",AS44*'Tabella Carichi Unitari'!$K$13)</f>
        <v>0</v>
      </c>
      <c r="AX44" s="416">
        <v>1</v>
      </c>
      <c r="AY44" s="415">
        <f>IF(AX44="","",AX44*'Tabella Carichi Unitari'!$G$13)</f>
        <v>5.7915000000000001</v>
      </c>
      <c r="AZ44" s="415">
        <f>IF(AX44="","",AX44*'Tabella Carichi Unitari'!$H$13)</f>
        <v>0</v>
      </c>
      <c r="BA44" s="415">
        <f>IF(AX44="","",AX44*'Tabella Carichi Unitari'!$C$13)</f>
        <v>4.4550000000000001</v>
      </c>
      <c r="BB44" s="109">
        <f>IF(AX44="","",AX44*'Tabella Carichi Unitari'!$K$13)</f>
        <v>0</v>
      </c>
    </row>
    <row r="45" spans="1:54" x14ac:dyDescent="0.25">
      <c r="A45" s="136" t="s">
        <v>392</v>
      </c>
      <c r="B45" s="416"/>
      <c r="C45" s="415" t="str">
        <f>IF(B45="","",B45*'Tabella Carichi Unitari'!$G$16)</f>
        <v/>
      </c>
      <c r="D45" s="415" t="str">
        <f>IF(B45="","",B45*'Tabella Carichi Unitari'!$H$16)</f>
        <v/>
      </c>
      <c r="E45" s="415" t="str">
        <f>IF(B45="","",B45*'Tabella Carichi Unitari'!$C$16)</f>
        <v/>
      </c>
      <c r="F45" s="109" t="str">
        <f>IF(B45="","",B45*'Tabella Carichi Unitari'!$K$16)</f>
        <v/>
      </c>
      <c r="G45" s="416"/>
      <c r="H45" s="415" t="str">
        <f>IF(G45="","",G45*'Tabella Carichi Unitari'!$G$16)</f>
        <v/>
      </c>
      <c r="I45" s="415" t="str">
        <f>IF(G45="","",G45*'Tabella Carichi Unitari'!$H$16)</f>
        <v/>
      </c>
      <c r="J45" s="415" t="str">
        <f>IF(G45="","",G45*'Tabella Carichi Unitari'!$C$16)</f>
        <v/>
      </c>
      <c r="K45" s="109" t="str">
        <f>IF(G45="","",G45*'Tabella Carichi Unitari'!$K$16)</f>
        <v/>
      </c>
      <c r="L45" s="416"/>
      <c r="M45" s="415" t="str">
        <f>IF(L45="","",L45*'Tabella Carichi Unitari'!$G$16)</f>
        <v/>
      </c>
      <c r="N45" s="415" t="str">
        <f>IF(L45="","",L45*'Tabella Carichi Unitari'!$H$16)</f>
        <v/>
      </c>
      <c r="O45" s="415" t="str">
        <f>IF(L45="","",L45*'Tabella Carichi Unitari'!$C$16)</f>
        <v/>
      </c>
      <c r="P45" s="109" t="str">
        <f>IF(L45="","",L45*'Tabella Carichi Unitari'!$K$16)</f>
        <v/>
      </c>
      <c r="Q45" s="416"/>
      <c r="R45" s="415" t="str">
        <f>IF(Q45="","",Q45*'Tabella Carichi Unitari'!$G$16)</f>
        <v/>
      </c>
      <c r="S45" s="415" t="str">
        <f>IF(Q45="","",Q45*'Tabella Carichi Unitari'!$H$16)</f>
        <v/>
      </c>
      <c r="T45" s="415" t="str">
        <f>IF(Q45="","",Q45*'Tabella Carichi Unitari'!$C$16)</f>
        <v/>
      </c>
      <c r="U45" s="109" t="str">
        <f>IF(Q45="","",Q45*'Tabella Carichi Unitari'!$K$16)</f>
        <v/>
      </c>
      <c r="V45" s="416"/>
      <c r="W45" s="415" t="str">
        <f>IF(V45="","",V45*'Tabella Carichi Unitari'!$G$16)</f>
        <v/>
      </c>
      <c r="X45" s="415" t="str">
        <f>IF(V45="","",V45*'Tabella Carichi Unitari'!$H$16)</f>
        <v/>
      </c>
      <c r="Y45" s="415" t="str">
        <f>IF(V45="","",V45*'Tabella Carichi Unitari'!$C$16)</f>
        <v/>
      </c>
      <c r="Z45" s="109" t="str">
        <f>IF(V45="","",V45*'Tabella Carichi Unitari'!$K$16)</f>
        <v/>
      </c>
      <c r="AB45" s="416"/>
      <c r="AC45" t="s">
        <v>392</v>
      </c>
      <c r="AD45" s="306"/>
      <c r="AE45" s="415" t="str">
        <f>IF(AD45="","",AD45*'Tabella Carichi Unitari'!$G$16)</f>
        <v/>
      </c>
      <c r="AF45" s="415" t="str">
        <f>IF(AD45="","",AD45*'Tabella Carichi Unitari'!$H$16)</f>
        <v/>
      </c>
      <c r="AG45" s="415" t="str">
        <f>IF(AD45="","",AD45*'Tabella Carichi Unitari'!$C$16)</f>
        <v/>
      </c>
      <c r="AH45" s="415" t="str">
        <f>IF(AD45="","",AD45*'Tabella Carichi Unitari'!$K$16)</f>
        <v/>
      </c>
      <c r="AI45" s="306"/>
      <c r="AJ45" s="415" t="str">
        <f>IF(AI45="","",AI45*'Tabella Carichi Unitari'!$G$16)</f>
        <v/>
      </c>
      <c r="AK45" s="415" t="str">
        <f>IF(AI45="","",AI45*'Tabella Carichi Unitari'!$H$16)</f>
        <v/>
      </c>
      <c r="AL45" s="415" t="str">
        <f>IF(AI45="","",AI45*'Tabella Carichi Unitari'!$C$16)</f>
        <v/>
      </c>
      <c r="AM45" s="415" t="str">
        <f>IF(AI45="","",AI45*'Tabella Carichi Unitari'!$K$16)</f>
        <v/>
      </c>
      <c r="AN45" s="306"/>
      <c r="AO45" s="415" t="str">
        <f>IF(AN45="","",AN45*'Tabella Carichi Unitari'!$G$9)</f>
        <v/>
      </c>
      <c r="AP45" s="415" t="str">
        <f>IF(AN45="","",AN45*'Tabella Carichi Unitari'!$H$9)</f>
        <v/>
      </c>
      <c r="AQ45" s="415" t="str">
        <f>IF(AN45="","",AN45*'Tabella Carichi Unitari'!$C$9)</f>
        <v/>
      </c>
      <c r="AR45" s="109" t="str">
        <f>IF(AN45="","",AN45*'Tabella Carichi Unitari'!$K$9)</f>
        <v/>
      </c>
      <c r="AS45" s="416"/>
      <c r="AT45" s="415" t="str">
        <f>IF(AS45="","",AS45*'Tabella Carichi Unitari'!$G$9)</f>
        <v/>
      </c>
      <c r="AU45" s="415" t="str">
        <f>IF(AS45="","",AS45*'Tabella Carichi Unitari'!$H$9)</f>
        <v/>
      </c>
      <c r="AV45" s="415" t="str">
        <f>IF(AS45="","",AS45*'Tabella Carichi Unitari'!$C$9)</f>
        <v/>
      </c>
      <c r="AW45" s="109" t="str">
        <f>IF(AS45="","",AS45*'Tabella Carichi Unitari'!$K$9)</f>
        <v/>
      </c>
      <c r="AX45" s="416"/>
      <c r="AY45" s="415" t="str">
        <f>IF(AX45="","",AX45*'Tabella Carichi Unitari'!$G$9)</f>
        <v/>
      </c>
      <c r="AZ45" s="415" t="str">
        <f>IF(AX45="","",AX45*'Tabella Carichi Unitari'!$H$9)</f>
        <v/>
      </c>
      <c r="BA45" s="415" t="str">
        <f>IF(AX45="","",AX45*'Tabella Carichi Unitari'!$C$9)</f>
        <v/>
      </c>
      <c r="BB45" s="109" t="str">
        <f>IF(AX45="","",AX45*'Tabella Carichi Unitari'!$K$9)</f>
        <v/>
      </c>
    </row>
    <row r="46" spans="1:54" x14ac:dyDescent="0.25">
      <c r="A46" s="136" t="s">
        <v>313</v>
      </c>
      <c r="B46" s="416"/>
      <c r="C46" s="168" t="str">
        <f>IF(B46="","",B46*'Tabella Carichi Unitari'!$G$17)</f>
        <v/>
      </c>
      <c r="D46" s="168" t="str">
        <f>IF(B46="","",B46*'Tabella Carichi Unitari'!$H$17)</f>
        <v/>
      </c>
      <c r="E46" s="168" t="str">
        <f>IF(B46="","",B46*'Tabella Carichi Unitari'!$C$17)</f>
        <v/>
      </c>
      <c r="F46" s="110" t="str">
        <f>IF(B46="","",B46*'Tabella Carichi Unitari'!$K$17)</f>
        <v/>
      </c>
      <c r="G46" s="416">
        <v>0.8</v>
      </c>
      <c r="H46" s="168">
        <f>IF(G46="","",G46*'Tabella Carichi Unitari'!$G$17)</f>
        <v>6.0320000000000009</v>
      </c>
      <c r="I46" s="168">
        <f>IF(G46="","",G46*'Tabella Carichi Unitari'!$H$17)</f>
        <v>0</v>
      </c>
      <c r="J46" s="168">
        <f>IF(G46="","",G46*'Tabella Carichi Unitari'!$C$17)</f>
        <v>4.6400000000000006</v>
      </c>
      <c r="K46" s="110">
        <f>IF(G46="","",G46*'Tabella Carichi Unitari'!$K$17)</f>
        <v>0</v>
      </c>
      <c r="L46" s="416">
        <v>0.8</v>
      </c>
      <c r="M46" s="168">
        <f>IF(L46="","",L46*'Tabella Carichi Unitari'!$G$17)</f>
        <v>6.0320000000000009</v>
      </c>
      <c r="N46" s="168">
        <f>IF(L46="","",L46*'Tabella Carichi Unitari'!$H$17)</f>
        <v>0</v>
      </c>
      <c r="O46" s="168">
        <f>IF(L46="","",L46*'Tabella Carichi Unitari'!$C$17)</f>
        <v>4.6400000000000006</v>
      </c>
      <c r="P46" s="110">
        <f>IF(L46="","",L46*'Tabella Carichi Unitari'!$K$17)</f>
        <v>0</v>
      </c>
      <c r="Q46" s="416">
        <v>0.9</v>
      </c>
      <c r="R46" s="168">
        <f>IF(Q46="","",Q46*'Tabella Carichi Unitari'!$G$17)</f>
        <v>6.7860000000000014</v>
      </c>
      <c r="S46" s="168">
        <f>IF(Q46="","",Q46*'Tabella Carichi Unitari'!$H$17)</f>
        <v>0</v>
      </c>
      <c r="T46" s="168">
        <f>IF(Q46="","",Q46*'Tabella Carichi Unitari'!$C$17)</f>
        <v>5.2200000000000006</v>
      </c>
      <c r="U46" s="110">
        <f>IF(Q46="","",Q46*'Tabella Carichi Unitari'!$K$17)</f>
        <v>0</v>
      </c>
      <c r="V46" s="416">
        <v>0.9</v>
      </c>
      <c r="W46" s="168">
        <f>IF(V46="","",V46*'Tabella Carichi Unitari'!$G$17)</f>
        <v>6.7860000000000014</v>
      </c>
      <c r="X46" s="168">
        <f>IF(V46="","",V46*'Tabella Carichi Unitari'!$H$17)</f>
        <v>0</v>
      </c>
      <c r="Y46" s="168">
        <f>IF(V46="","",V46*'Tabella Carichi Unitari'!$C$17)</f>
        <v>5.2200000000000006</v>
      </c>
      <c r="Z46" s="110">
        <f>IF(V46="","",V46*'Tabella Carichi Unitari'!$K$17)</f>
        <v>0</v>
      </c>
      <c r="AB46" s="416"/>
      <c r="AC46" t="s">
        <v>313</v>
      </c>
      <c r="AD46" s="306"/>
      <c r="AE46" s="168" t="str">
        <f>IF(AD46="","",AD46*'Tabella Carichi Unitari'!$G$17)</f>
        <v/>
      </c>
      <c r="AF46" s="168" t="str">
        <f>IF(AD46="","",AD46*'Tabella Carichi Unitari'!$H$17)</f>
        <v/>
      </c>
      <c r="AG46" s="168" t="str">
        <f>IF(AD46="","",AD46*'Tabella Carichi Unitari'!$C$17)</f>
        <v/>
      </c>
      <c r="AH46" s="110" t="str">
        <f>IF(AD46="","",AD46*'Tabella Carichi Unitari'!$K$17)</f>
        <v/>
      </c>
      <c r="AI46" s="306">
        <v>0.8</v>
      </c>
      <c r="AJ46" s="168">
        <f>IF(AI46="","",AI46*'Tabella Carichi Unitari'!$G$17)</f>
        <v>6.0320000000000009</v>
      </c>
      <c r="AK46" s="168">
        <f>IF(AI46="","",AI46*'Tabella Carichi Unitari'!$H$17)</f>
        <v>0</v>
      </c>
      <c r="AL46" s="168">
        <f>IF(AI46="","",AI46*'Tabella Carichi Unitari'!$C$17)</f>
        <v>4.6400000000000006</v>
      </c>
      <c r="AM46" s="110">
        <f>IF(AI46="","",AI46*'Tabella Carichi Unitari'!$K$17)</f>
        <v>0</v>
      </c>
      <c r="AN46" s="306">
        <v>0.8</v>
      </c>
      <c r="AO46" s="168">
        <f>IF(AN46="","",AN46*'Tabella Carichi Unitari'!$G$17)</f>
        <v>6.0320000000000009</v>
      </c>
      <c r="AP46" s="168">
        <f>IF(AN46="","",AN46*'Tabella Carichi Unitari'!$H$17)</f>
        <v>0</v>
      </c>
      <c r="AQ46" s="168">
        <f>IF(AN46="","",AN46*'Tabella Carichi Unitari'!$C$17)</f>
        <v>4.6400000000000006</v>
      </c>
      <c r="AR46" s="110">
        <f>IF(AN46="","",AN46*'Tabella Carichi Unitari'!$K$17)</f>
        <v>0</v>
      </c>
      <c r="AS46" s="416">
        <v>0.9</v>
      </c>
      <c r="AT46" s="168">
        <f>IF(AS46="","",AS46*'Tabella Carichi Unitari'!$G$17)</f>
        <v>6.7860000000000014</v>
      </c>
      <c r="AU46" s="168">
        <f>IF(AS46="","",AS46*'Tabella Carichi Unitari'!$H$17)</f>
        <v>0</v>
      </c>
      <c r="AV46" s="168">
        <f>IF(AS46="","",AS46*'Tabella Carichi Unitari'!$C$17)</f>
        <v>5.2200000000000006</v>
      </c>
      <c r="AW46" s="110">
        <f>IF(AS46="","",AS46*'Tabella Carichi Unitari'!$K$17)</f>
        <v>0</v>
      </c>
      <c r="AX46" s="416">
        <v>0.9</v>
      </c>
      <c r="AY46" s="168">
        <f>IF(AX46="","",AX46*'Tabella Carichi Unitari'!$G$17)</f>
        <v>6.7860000000000014</v>
      </c>
      <c r="AZ46" s="168">
        <f>IF(AX46="","",AX46*'Tabella Carichi Unitari'!$H$17)</f>
        <v>0</v>
      </c>
      <c r="BA46" s="168">
        <f>IF(AX46="","",AX46*'Tabella Carichi Unitari'!$C$17)</f>
        <v>5.2200000000000006</v>
      </c>
      <c r="BB46" s="110">
        <f>IF(AX46="","",AX46*'Tabella Carichi Unitari'!$K$17)</f>
        <v>0</v>
      </c>
    </row>
    <row r="47" spans="1:54" x14ac:dyDescent="0.25">
      <c r="A47" s="136"/>
      <c r="B47" s="416"/>
      <c r="C47" s="415">
        <f>SUM(C41:C46)</f>
        <v>9.4539899999999992</v>
      </c>
      <c r="D47" s="415">
        <f t="shared" ref="D47:F47" si="4">SUM(D41:D46)</f>
        <v>0.83024999999999982</v>
      </c>
      <c r="E47" s="415">
        <f t="shared" si="4"/>
        <v>7.2722999999999987</v>
      </c>
      <c r="F47" s="415">
        <f t="shared" si="4"/>
        <v>0</v>
      </c>
      <c r="G47" s="415"/>
      <c r="H47" s="415">
        <f t="shared" ref="H47" si="5">SUM(H41:H46)</f>
        <v>16.763200999999999</v>
      </c>
      <c r="I47" s="415">
        <f t="shared" ref="I47" si="6">SUM(I41:I46)</f>
        <v>6.6419999999999986</v>
      </c>
      <c r="J47" s="415">
        <f t="shared" ref="J47:K47" si="7">SUM(J41:J46)</f>
        <v>12.894769999999999</v>
      </c>
      <c r="K47" s="415">
        <f t="shared" si="7"/>
        <v>2.6567999999999992</v>
      </c>
      <c r="L47" s="415"/>
      <c r="M47" s="415">
        <f t="shared" ref="M47" si="8">SUM(M41:M46)</f>
        <v>17.738200999999997</v>
      </c>
      <c r="N47" s="415">
        <f t="shared" ref="N47" si="9">SUM(N41:N46)</f>
        <v>6.6419999999999986</v>
      </c>
      <c r="O47" s="415">
        <f t="shared" ref="O47" si="10">SUM(O41:O46)</f>
        <v>13.644769999999999</v>
      </c>
      <c r="P47" s="415">
        <f t="shared" ref="P47" si="11">SUM(P41:P46)</f>
        <v>2.6567999999999992</v>
      </c>
      <c r="Q47" s="415"/>
      <c r="R47" s="415">
        <f t="shared" ref="R47" si="12">SUM(R41:R46)</f>
        <v>15.083640000000001</v>
      </c>
      <c r="S47" s="415">
        <f t="shared" ref="S47" si="13">SUM(S41:S46)</f>
        <v>1.5</v>
      </c>
      <c r="T47" s="415">
        <f t="shared" ref="T47" si="14">SUM(T41:T46)</f>
        <v>11.6028</v>
      </c>
      <c r="U47" s="415">
        <f t="shared" ref="U47" si="15">SUM(U41:U46)</f>
        <v>0.3</v>
      </c>
      <c r="V47" s="415"/>
      <c r="W47" s="415">
        <f t="shared" ref="W47" si="16">SUM(W41:W46)</f>
        <v>15.083640000000001</v>
      </c>
      <c r="X47" s="415">
        <f t="shared" ref="X47" si="17">SUM(X41:X46)</f>
        <v>1.5</v>
      </c>
      <c r="Y47" s="415">
        <f t="shared" ref="Y47" si="18">SUM(Y41:Y46)</f>
        <v>11.6028</v>
      </c>
      <c r="Z47" s="415">
        <f t="shared" ref="Z47" si="19">SUM(Z41:Z46)</f>
        <v>0.3</v>
      </c>
      <c r="AB47" s="416"/>
      <c r="AC47"/>
      <c r="AD47" s="306"/>
      <c r="AE47" s="415">
        <f>SUM(AE41:AE46)</f>
        <v>16.432195</v>
      </c>
      <c r="AF47" s="415">
        <f>SUM(AF41:AF46)</f>
        <v>5.766375</v>
      </c>
      <c r="AG47" s="415">
        <f>SUM(AG41:AG46)</f>
        <v>12.64015</v>
      </c>
      <c r="AH47" s="415">
        <f>SUM(AH41:AH46)</f>
        <v>1.05</v>
      </c>
      <c r="AI47" s="306"/>
      <c r="AJ47" s="415">
        <f>SUM(AJ41:AJ46)</f>
        <v>23.298645499999999</v>
      </c>
      <c r="AK47" s="415">
        <f>SUM(AK41:AK46)</f>
        <v>9.3810000000000002</v>
      </c>
      <c r="AL47" s="415">
        <f>SUM(AL41:AL46)</f>
        <v>17.922035000000001</v>
      </c>
      <c r="AM47" s="415">
        <f>SUM(AM41:AM46)</f>
        <v>2.7023999999999999</v>
      </c>
      <c r="AN47" s="306"/>
      <c r="AO47" s="415">
        <f>SUM(AO41:AO46)</f>
        <v>24.273645499999997</v>
      </c>
      <c r="AP47" s="415">
        <f>SUM(AP41:AP46)</f>
        <v>9.3810000000000002</v>
      </c>
      <c r="AQ47" s="415">
        <f>SUM(AQ41:AQ46)</f>
        <v>18.672035000000001</v>
      </c>
      <c r="AR47" s="109">
        <f>SUM(AR41:AR46)</f>
        <v>2.7023999999999999</v>
      </c>
      <c r="AS47" s="416"/>
      <c r="AT47" s="415">
        <f>SUM(AT41:AT46)</f>
        <v>21.348990000000001</v>
      </c>
      <c r="AU47" s="415">
        <f t="shared" ref="AU47:AW47" si="20">SUM(AU41:AU46)</f>
        <v>5.25</v>
      </c>
      <c r="AV47" s="415">
        <f t="shared" si="20"/>
        <v>16.4223</v>
      </c>
      <c r="AW47" s="415">
        <f t="shared" si="20"/>
        <v>1.05</v>
      </c>
      <c r="AX47" s="416"/>
      <c r="AY47" s="415">
        <f>SUM(AY41:AY46)</f>
        <v>21.348990000000001</v>
      </c>
      <c r="AZ47" s="415">
        <f t="shared" ref="AZ47:BB47" si="21">SUM(AZ41:AZ46)</f>
        <v>5.25</v>
      </c>
      <c r="BA47" s="415">
        <f t="shared" si="21"/>
        <v>16.4223</v>
      </c>
      <c r="BB47" s="415">
        <f t="shared" si="21"/>
        <v>1.05</v>
      </c>
    </row>
    <row r="48" spans="1:54" x14ac:dyDescent="0.25">
      <c r="B48" s="416"/>
      <c r="C48" s="612">
        <f>C47+D47</f>
        <v>10.284239999999999</v>
      </c>
      <c r="D48" s="612"/>
      <c r="E48" s="612">
        <f>E47+F47</f>
        <v>7.2722999999999987</v>
      </c>
      <c r="F48" s="612"/>
      <c r="G48" s="416"/>
      <c r="H48" s="612">
        <f>H47+I47</f>
        <v>23.405200999999998</v>
      </c>
      <c r="I48" s="612"/>
      <c r="J48" s="612">
        <f>J47+K47</f>
        <v>15.551569999999998</v>
      </c>
      <c r="K48" s="612"/>
      <c r="L48" s="416"/>
      <c r="M48" s="612">
        <f>M47+N47</f>
        <v>24.380200999999996</v>
      </c>
      <c r="N48" s="612"/>
      <c r="O48" s="612">
        <f>O47+P47</f>
        <v>16.301569999999998</v>
      </c>
      <c r="P48" s="612"/>
      <c r="Q48" s="416"/>
      <c r="R48" s="612">
        <f>R47+S47</f>
        <v>16.583640000000003</v>
      </c>
      <c r="S48" s="612"/>
      <c r="T48" s="612">
        <f>T47+U47</f>
        <v>11.902800000000001</v>
      </c>
      <c r="U48" s="612"/>
      <c r="V48" s="416"/>
      <c r="W48" s="612">
        <f>W47+X47</f>
        <v>16.583640000000003</v>
      </c>
      <c r="X48" s="612"/>
      <c r="Y48" s="612">
        <f>Y47+Z47</f>
        <v>11.902800000000001</v>
      </c>
      <c r="Z48" s="612"/>
      <c r="AB48" s="416"/>
      <c r="AC48"/>
      <c r="AD48" s="412"/>
      <c r="AE48" s="612">
        <f>AE47+AF47</f>
        <v>22.19857</v>
      </c>
      <c r="AF48" s="612"/>
      <c r="AG48" s="612">
        <f>AG47+AH47</f>
        <v>13.690150000000001</v>
      </c>
      <c r="AH48" s="612"/>
      <c r="AI48" s="412"/>
      <c r="AJ48" s="612">
        <f>AJ47+AK47</f>
        <v>32.679645499999999</v>
      </c>
      <c r="AK48" s="612"/>
      <c r="AL48" s="612">
        <f>AL47+AM47</f>
        <v>20.624435000000002</v>
      </c>
      <c r="AM48" s="612"/>
      <c r="AN48" s="412"/>
      <c r="AO48" s="612">
        <f>AO47+AP47</f>
        <v>33.654645500000001</v>
      </c>
      <c r="AP48" s="612"/>
      <c r="AQ48" s="612">
        <f>AQ47+AR47</f>
        <v>21.374435000000002</v>
      </c>
      <c r="AR48" s="612"/>
      <c r="AS48" s="416"/>
      <c r="AT48" s="612">
        <f>AT47+AU47</f>
        <v>26.598990000000001</v>
      </c>
      <c r="AU48" s="612"/>
      <c r="AV48" s="612">
        <f>AV47+AW47</f>
        <v>17.472300000000001</v>
      </c>
      <c r="AW48" s="612"/>
      <c r="AX48" s="416"/>
      <c r="AY48" s="612">
        <f>AY47+AZ47</f>
        <v>26.598990000000001</v>
      </c>
      <c r="AZ48" s="612"/>
      <c r="BA48" s="612">
        <f>BA47+BB47</f>
        <v>17.472300000000001</v>
      </c>
      <c r="BB48" s="612"/>
    </row>
    <row r="49" spans="1:54" x14ac:dyDescent="0.25">
      <c r="B49" s="416"/>
      <c r="G49" s="416"/>
      <c r="L49" s="416"/>
      <c r="Q49" s="416"/>
      <c r="V49" s="416"/>
      <c r="AB49" s="416"/>
      <c r="AC49" s="416"/>
      <c r="AD49" s="416"/>
      <c r="AE49" s="416"/>
      <c r="AF49" s="416"/>
      <c r="AG49" s="416"/>
      <c r="AH49" s="416"/>
      <c r="AI49" s="416"/>
      <c r="AJ49" s="416"/>
      <c r="AK49" s="416"/>
      <c r="AL49" s="416"/>
      <c r="AM49" s="416"/>
      <c r="AN49" s="416"/>
      <c r="AO49" s="416"/>
      <c r="AP49" s="416"/>
      <c r="AQ49" s="416"/>
      <c r="AR49" s="416"/>
      <c r="AS49" s="416"/>
      <c r="AT49" s="416"/>
      <c r="AU49" s="416"/>
      <c r="AV49" s="416"/>
      <c r="AW49" s="416"/>
    </row>
    <row r="50" spans="1:54" x14ac:dyDescent="0.25">
      <c r="A50" s="403" t="s">
        <v>393</v>
      </c>
      <c r="B50" s="416"/>
      <c r="C50" t="s">
        <v>399</v>
      </c>
      <c r="G50" s="416"/>
      <c r="H50" t="s">
        <v>400</v>
      </c>
      <c r="L50" s="416"/>
      <c r="M50" t="s">
        <v>401</v>
      </c>
      <c r="Q50" s="416"/>
      <c r="R50" t="s">
        <v>232</v>
      </c>
      <c r="V50" s="416"/>
      <c r="W50" t="s">
        <v>402</v>
      </c>
      <c r="AB50" s="416"/>
      <c r="AC50" s="403" t="s">
        <v>393</v>
      </c>
      <c r="AD50" s="416"/>
      <c r="AE50" t="s">
        <v>399</v>
      </c>
      <c r="AF50"/>
      <c r="AG50"/>
      <c r="AH50"/>
      <c r="AI50" s="416"/>
      <c r="AJ50" t="s">
        <v>400</v>
      </c>
      <c r="AK50"/>
      <c r="AL50"/>
      <c r="AM50"/>
      <c r="AN50" s="416"/>
      <c r="AO50" t="s">
        <v>401</v>
      </c>
      <c r="AP50"/>
      <c r="AQ50"/>
      <c r="AR50"/>
      <c r="AS50" s="416"/>
      <c r="AT50" t="s">
        <v>232</v>
      </c>
      <c r="AU50"/>
      <c r="AV50"/>
      <c r="AW50"/>
      <c r="AX50" s="416"/>
      <c r="AY50" t="s">
        <v>402</v>
      </c>
    </row>
    <row r="51" spans="1:54" x14ac:dyDescent="0.25">
      <c r="A51" s="404" t="s">
        <v>405</v>
      </c>
      <c r="B51" s="416"/>
      <c r="G51" s="416"/>
      <c r="L51" s="416"/>
      <c r="Q51" s="416"/>
      <c r="V51" s="416"/>
      <c r="AB51" s="416"/>
      <c r="AC51" s="404" t="s">
        <v>433</v>
      </c>
      <c r="AD51" s="416"/>
      <c r="AE51"/>
      <c r="AF51"/>
      <c r="AG51"/>
      <c r="AH51"/>
      <c r="AI51" s="416"/>
      <c r="AJ51"/>
      <c r="AK51"/>
      <c r="AL51"/>
      <c r="AM51"/>
      <c r="AN51" s="416"/>
      <c r="AO51"/>
      <c r="AP51"/>
      <c r="AQ51"/>
      <c r="AR51"/>
      <c r="AS51" s="416"/>
      <c r="AT51"/>
      <c r="AU51"/>
      <c r="AV51"/>
      <c r="AW51"/>
      <c r="AX51" s="416"/>
    </row>
    <row r="52" spans="1:54" x14ac:dyDescent="0.25">
      <c r="A52" s="136"/>
      <c r="B52" s="412"/>
      <c r="C52" s="416" t="s">
        <v>386</v>
      </c>
      <c r="D52" s="416" t="s">
        <v>396</v>
      </c>
      <c r="E52" s="416" t="s">
        <v>288</v>
      </c>
      <c r="F52" s="411" t="s">
        <v>406</v>
      </c>
      <c r="G52" s="412"/>
      <c r="H52" s="416" t="s">
        <v>386</v>
      </c>
      <c r="I52" s="416" t="s">
        <v>396</v>
      </c>
      <c r="J52" s="416" t="s">
        <v>288</v>
      </c>
      <c r="K52" s="411" t="s">
        <v>407</v>
      </c>
      <c r="L52" s="412"/>
      <c r="M52" s="416" t="s">
        <v>386</v>
      </c>
      <c r="N52" s="416" t="s">
        <v>396</v>
      </c>
      <c r="O52" s="416" t="s">
        <v>288</v>
      </c>
      <c r="P52" s="411" t="s">
        <v>407</v>
      </c>
      <c r="Q52" s="306"/>
      <c r="R52" s="416" t="s">
        <v>386</v>
      </c>
      <c r="S52" s="416" t="s">
        <v>396</v>
      </c>
      <c r="T52" s="416" t="s">
        <v>288</v>
      </c>
      <c r="U52" s="411" t="s">
        <v>407</v>
      </c>
      <c r="V52" s="306"/>
      <c r="W52" s="416" t="s">
        <v>386</v>
      </c>
      <c r="X52" s="416" t="s">
        <v>396</v>
      </c>
      <c r="Y52" s="416" t="s">
        <v>288</v>
      </c>
      <c r="Z52" s="411" t="s">
        <v>407</v>
      </c>
      <c r="AB52" s="416"/>
      <c r="AC52"/>
      <c r="AD52" s="306"/>
      <c r="AE52" s="416" t="s">
        <v>386</v>
      </c>
      <c r="AF52" s="416" t="s">
        <v>396</v>
      </c>
      <c r="AG52" s="416" t="s">
        <v>288</v>
      </c>
      <c r="AH52" s="418" t="s">
        <v>406</v>
      </c>
      <c r="AI52" s="306"/>
      <c r="AJ52" s="416" t="s">
        <v>386</v>
      </c>
      <c r="AK52" s="416" t="s">
        <v>396</v>
      </c>
      <c r="AL52" s="416" t="s">
        <v>288</v>
      </c>
      <c r="AM52" s="418" t="s">
        <v>407</v>
      </c>
      <c r="AN52" s="306"/>
      <c r="AO52" s="416" t="s">
        <v>386</v>
      </c>
      <c r="AP52" s="416" t="s">
        <v>396</v>
      </c>
      <c r="AQ52" s="416" t="s">
        <v>288</v>
      </c>
      <c r="AR52" s="411" t="s">
        <v>407</v>
      </c>
      <c r="AS52" s="306"/>
      <c r="AT52" s="416" t="s">
        <v>386</v>
      </c>
      <c r="AU52" s="416" t="s">
        <v>396</v>
      </c>
      <c r="AV52" s="416" t="s">
        <v>288</v>
      </c>
      <c r="AW52" s="411" t="s">
        <v>407</v>
      </c>
      <c r="AX52" s="306"/>
      <c r="AY52" s="416" t="s">
        <v>386</v>
      </c>
      <c r="AZ52" s="416" t="s">
        <v>396</v>
      </c>
      <c r="BA52" s="416" t="s">
        <v>288</v>
      </c>
      <c r="BB52" s="411" t="s">
        <v>407</v>
      </c>
    </row>
    <row r="53" spans="1:54" x14ac:dyDescent="0.25">
      <c r="A53" s="136" t="s">
        <v>312</v>
      </c>
      <c r="B53" s="416"/>
      <c r="C53" s="415" t="str">
        <f>IF(B53="","",B53*'Tabella Carichi Unitari'!$G$8)</f>
        <v/>
      </c>
      <c r="D53" s="415" t="str">
        <f>IF(B53="","",B53*'Tabella Carichi Unitari'!$H$8)</f>
        <v/>
      </c>
      <c r="E53" s="415" t="str">
        <f>IF(B53="","",B53*'Tabella Carichi Unitari'!$C$8)</f>
        <v/>
      </c>
      <c r="F53" s="109" t="str">
        <f>IF(B53="","",B53*'Tabella Carichi Unitari'!$K$8)</f>
        <v/>
      </c>
      <c r="G53" s="416"/>
      <c r="H53" s="415" t="str">
        <f>IF(G53="","",G53*'Tabella Carichi Unitari'!$G$5)</f>
        <v/>
      </c>
      <c r="I53" s="415" t="str">
        <f>IF(G53="","",G53*'Tabella Carichi Unitari'!$H$5)</f>
        <v/>
      </c>
      <c r="J53" s="415" t="str">
        <f>IF(G53="","",G53*'Tabella Carichi Unitari'!$C$5)</f>
        <v/>
      </c>
      <c r="K53" s="109" t="str">
        <f>IF(G53="","",G53*'Tabella Carichi Unitari'!$K$5)</f>
        <v/>
      </c>
      <c r="L53" s="416"/>
      <c r="M53" s="415" t="str">
        <f>IF(L53="","",L53*'Tabella Carichi Unitari'!$G$5)</f>
        <v/>
      </c>
      <c r="N53" s="415" t="str">
        <f>IF(L53="","",L53*'Tabella Carichi Unitari'!$H$5)</f>
        <v/>
      </c>
      <c r="O53" s="415" t="str">
        <f>IF(L53="","",L53*'Tabella Carichi Unitari'!$C$5)</f>
        <v/>
      </c>
      <c r="P53" s="109" t="str">
        <f>IF(L53="","",L53*'Tabella Carichi Unitari'!$K$5)</f>
        <v/>
      </c>
      <c r="Q53" s="416">
        <v>0.5</v>
      </c>
      <c r="R53" s="415">
        <f>IF(Q53="","",Q53*'Tabella Carichi Unitari'!$G$5)</f>
        <v>2.5061399999999998</v>
      </c>
      <c r="S53" s="415">
        <f>IF(Q53="","",Q53*'Tabella Carichi Unitari'!$H$5)</f>
        <v>1.5</v>
      </c>
      <c r="T53" s="415">
        <f>IF(Q53="","",Q53*'Tabella Carichi Unitari'!$C$5)</f>
        <v>1.9277999999999997</v>
      </c>
      <c r="U53" s="109">
        <f>IF(Q53="","",Q53*'Tabella Carichi Unitari'!$K$5)</f>
        <v>0.3</v>
      </c>
      <c r="V53" s="416">
        <v>0.5</v>
      </c>
      <c r="W53" s="415">
        <f>IF(V53="","",V53*'Tabella Carichi Unitari'!$G$5)</f>
        <v>2.5061399999999998</v>
      </c>
      <c r="X53" s="415">
        <f>IF(V53="","",V53*'Tabella Carichi Unitari'!$H$5)</f>
        <v>1.5</v>
      </c>
      <c r="Y53" s="415">
        <f>IF(V53="","",V53*'Tabella Carichi Unitari'!$C$5)</f>
        <v>1.9277999999999997</v>
      </c>
      <c r="Z53" s="109">
        <f>IF(V53="","",V53*'Tabella Carichi Unitari'!$K$5)</f>
        <v>0.3</v>
      </c>
      <c r="AB53" s="416"/>
      <c r="AC53" t="s">
        <v>312</v>
      </c>
      <c r="AD53" s="106">
        <f>(3.5/2)*1</f>
        <v>1.75</v>
      </c>
      <c r="AE53" s="415">
        <f>IF(AD53="","",AD53*'Tabella Carichi Unitari'!$G$8)</f>
        <v>9.1</v>
      </c>
      <c r="AF53" s="415">
        <f>IF(AD53="","",AD53*'Tabella Carichi Unitari'!$H$8)</f>
        <v>5.25</v>
      </c>
      <c r="AG53" s="415">
        <f>IF(AD53="","",AD53*'Tabella Carichi Unitari'!$C$8)</f>
        <v>7</v>
      </c>
      <c r="AH53" s="415">
        <f>IF(AD53="","",AD53*'Tabella Carichi Unitari'!$K$8)</f>
        <v>1.05</v>
      </c>
      <c r="AI53" s="106">
        <f>(3.5/2)*1</f>
        <v>1.75</v>
      </c>
      <c r="AJ53" s="415">
        <f>IF(AI53="","",AI53*'Tabella Carichi Unitari'!$G$5)</f>
        <v>8.77149</v>
      </c>
      <c r="AK53" s="415">
        <f>IF(AI53="","",AI53*'Tabella Carichi Unitari'!$H$5)</f>
        <v>5.25</v>
      </c>
      <c r="AL53" s="415">
        <f>IF(AI53="","",AI53*'Tabella Carichi Unitari'!$C$5)</f>
        <v>6.7472999999999992</v>
      </c>
      <c r="AM53" s="415">
        <f>IF(AI53="","",AI53*'Tabella Carichi Unitari'!$K$5)</f>
        <v>1.05</v>
      </c>
      <c r="AN53" s="106">
        <f>(3.9/2)*1</f>
        <v>1.95</v>
      </c>
      <c r="AO53" s="415">
        <f>IF(AN53="","",AN53*'Tabella Carichi Unitari'!$G$5)</f>
        <v>9.7739459999999987</v>
      </c>
      <c r="AP53" s="415">
        <f>IF(AN53="","",AN53*'Tabella Carichi Unitari'!$H$5)</f>
        <v>5.85</v>
      </c>
      <c r="AQ53" s="415">
        <f>IF(AN53="","",AN53*'Tabella Carichi Unitari'!$C$5)</f>
        <v>7.518419999999999</v>
      </c>
      <c r="AR53" s="109">
        <f>IF(AN53="","",AN53*'Tabella Carichi Unitari'!$K$5)</f>
        <v>1.17</v>
      </c>
      <c r="AS53" s="416">
        <f>(3.5/2)*1</f>
        <v>1.75</v>
      </c>
      <c r="AT53" s="415">
        <f>IF(AS53="","",AS53*'Tabella Carichi Unitari'!$G$5)</f>
        <v>8.77149</v>
      </c>
      <c r="AU53" s="415">
        <f>IF(AS53="","",AS53*'Tabella Carichi Unitari'!$H$5)</f>
        <v>5.25</v>
      </c>
      <c r="AV53" s="415">
        <f>IF(AS53="","",AS53*'Tabella Carichi Unitari'!$C$5)</f>
        <v>6.7472999999999992</v>
      </c>
      <c r="AW53" s="109">
        <f>IF(AS53="","",AS53*'Tabella Carichi Unitari'!$K$5)</f>
        <v>1.05</v>
      </c>
      <c r="AX53" s="416">
        <f>(3.5/2)*1</f>
        <v>1.75</v>
      </c>
      <c r="AY53" s="415">
        <f>IF(AX53="","",AX53*'Tabella Carichi Unitari'!$G$5)</f>
        <v>8.77149</v>
      </c>
      <c r="AZ53" s="415">
        <f>IF(AX53="","",AX53*'Tabella Carichi Unitari'!$H$5)</f>
        <v>5.25</v>
      </c>
      <c r="BA53" s="415">
        <f>IF(AX53="","",AX53*'Tabella Carichi Unitari'!$C$5)</f>
        <v>6.7472999999999992</v>
      </c>
      <c r="BB53" s="109">
        <f>IF(AX53="","",AX53*'Tabella Carichi Unitari'!$K$5)</f>
        <v>1.05</v>
      </c>
    </row>
    <row r="54" spans="1:54" x14ac:dyDescent="0.25">
      <c r="A54" s="136" t="s">
        <v>314</v>
      </c>
      <c r="B54" s="429">
        <f>(1.2+0.15)*2*0.41</f>
        <v>1.1069999999999998</v>
      </c>
      <c r="C54" s="415">
        <f>IF(B54="","",B54*'Tabella Carichi Unitari'!$G$11)</f>
        <v>5.6124899999999993</v>
      </c>
      <c r="D54" s="415">
        <f>IF(B54="","",B54*'Tabella Carichi Unitari'!$H$11)</f>
        <v>0.83024999999999982</v>
      </c>
      <c r="E54" s="415">
        <f>IF(B54="","",B54*'Tabella Carichi Unitari'!$C$11)</f>
        <v>4.3172999999999986</v>
      </c>
      <c r="F54" s="109">
        <f>IF(B54="","",B54*'Tabella Carichi Unitari'!$K$11)</f>
        <v>0</v>
      </c>
      <c r="G54" s="429">
        <f>B54</f>
        <v>1.1069999999999998</v>
      </c>
      <c r="H54" s="415">
        <f>IF(G54="","",G54*'Tabella Carichi Unitari'!$G$10)</f>
        <v>5.9147009999999973</v>
      </c>
      <c r="I54" s="415">
        <f>IF(G54="","",G54*'Tabella Carichi Unitari'!$H$10)</f>
        <v>6.6419999999999986</v>
      </c>
      <c r="J54" s="415">
        <f>IF(G54="","",G54*'Tabella Carichi Unitari'!$C$10)</f>
        <v>4.5497699999999988</v>
      </c>
      <c r="K54" s="109">
        <f>IF(G54="","",G54*'Tabella Carichi Unitari'!$K$10)</f>
        <v>2.6567999999999992</v>
      </c>
      <c r="L54" s="429">
        <f>B54</f>
        <v>1.1069999999999998</v>
      </c>
      <c r="M54" s="415">
        <f>IF(L54="","",L54*'Tabella Carichi Unitari'!$G$10)</f>
        <v>5.9147009999999973</v>
      </c>
      <c r="N54" s="415">
        <f>IF(L54="","",L54*'Tabella Carichi Unitari'!$H$10)</f>
        <v>6.6419999999999986</v>
      </c>
      <c r="O54" s="415">
        <f>IF(L54="","",L54*'Tabella Carichi Unitari'!$C$10)</f>
        <v>4.5497699999999988</v>
      </c>
      <c r="P54" s="109">
        <f>IF(L54="","",L54*'Tabella Carichi Unitari'!$K$10)</f>
        <v>2.6567999999999992</v>
      </c>
      <c r="Q54" s="416"/>
      <c r="R54" s="415" t="str">
        <f>IF(Q54="","",Q54*'Tabella Carichi Unitari'!$G$10)</f>
        <v/>
      </c>
      <c r="S54" s="415" t="str">
        <f>IF(Q54="","",Q54*'Tabella Carichi Unitari'!$H$10)</f>
        <v/>
      </c>
      <c r="T54" s="415" t="str">
        <f>IF(Q54="","",Q54*'Tabella Carichi Unitari'!$C$10)</f>
        <v/>
      </c>
      <c r="U54" s="109" t="str">
        <f>IF(Q54="","",Q54*'Tabella Carichi Unitari'!$K$10)</f>
        <v/>
      </c>
      <c r="V54" s="416"/>
      <c r="W54" s="415" t="str">
        <f>IF(V54="","",V54*'Tabella Carichi Unitari'!$G$10)</f>
        <v/>
      </c>
      <c r="X54" s="415" t="str">
        <f>IF(V54="","",V54*'Tabella Carichi Unitari'!$H$10)</f>
        <v/>
      </c>
      <c r="Y54" s="415" t="str">
        <f>IF(V54="","",V54*'Tabella Carichi Unitari'!$C$10)</f>
        <v/>
      </c>
      <c r="Z54" s="109" t="str">
        <f>IF(V54="","",V54*'Tabella Carichi Unitari'!$K$10)</f>
        <v/>
      </c>
      <c r="AB54" s="416"/>
      <c r="AC54" t="s">
        <v>314</v>
      </c>
      <c r="AD54" s="106">
        <f>(0.5+0.15)</f>
        <v>0.65</v>
      </c>
      <c r="AE54" s="415">
        <f>IF(AD54="","",AD54*'Tabella Carichi Unitari'!$G$11)</f>
        <v>3.2955000000000001</v>
      </c>
      <c r="AF54" s="415">
        <f>IF(AD54="","",AD54*'Tabella Carichi Unitari'!$H$11)</f>
        <v>0.48750000000000004</v>
      </c>
      <c r="AG54" s="415">
        <f>IF(AD54="","",AD54*'Tabella Carichi Unitari'!$C$11)</f>
        <v>2.5350000000000001</v>
      </c>
      <c r="AH54" s="415">
        <f>IF(AD54="","",AD54*'Tabella Carichi Unitari'!$K$11)</f>
        <v>0</v>
      </c>
      <c r="AI54" s="106">
        <f>AD54</f>
        <v>0.65</v>
      </c>
      <c r="AJ54" s="415">
        <f>IF(AI54="","",AI54*'Tabella Carichi Unitari'!$G$10)</f>
        <v>3.4729499999999995</v>
      </c>
      <c r="AK54" s="415">
        <f>IF(AI54="","",AI54*'Tabella Carichi Unitari'!$H$10)</f>
        <v>3.9000000000000004</v>
      </c>
      <c r="AL54" s="415">
        <f>IF(AI54="","",AI54*'Tabella Carichi Unitari'!$C$10)</f>
        <v>2.6714999999999995</v>
      </c>
      <c r="AM54" s="415">
        <f>IF(AI54="","",AI54*'Tabella Carichi Unitari'!$K$10)</f>
        <v>1.56</v>
      </c>
      <c r="AN54" s="106">
        <f>AD54</f>
        <v>0.65</v>
      </c>
      <c r="AO54" s="415">
        <f>IF(AN54="","",AN54*'Tabella Carichi Unitari'!$G$10)</f>
        <v>3.4729499999999995</v>
      </c>
      <c r="AP54" s="415">
        <f>IF(AN54="","",AN54*'Tabella Carichi Unitari'!$H$10)</f>
        <v>3.9000000000000004</v>
      </c>
      <c r="AQ54" s="415">
        <f>IF(AN54="","",AN54*'Tabella Carichi Unitari'!$C$10)</f>
        <v>2.6714999999999995</v>
      </c>
      <c r="AR54" s="109">
        <f>IF(AN54="","",AN54*'Tabella Carichi Unitari'!$K$10)</f>
        <v>1.56</v>
      </c>
      <c r="AS54" s="416"/>
      <c r="AT54" s="415" t="str">
        <f>IF(AS54="","",AS54*'Tabella Carichi Unitari'!$G$10)</f>
        <v/>
      </c>
      <c r="AU54" s="415" t="str">
        <f>IF(AS54="","",AS54*'Tabella Carichi Unitari'!$H$10)</f>
        <v/>
      </c>
      <c r="AV54" s="415" t="str">
        <f>IF(AS54="","",AS54*'Tabella Carichi Unitari'!$C$10)</f>
        <v/>
      </c>
      <c r="AW54" s="109" t="str">
        <f>IF(AS54="","",AS54*'Tabella Carichi Unitari'!$K$10)</f>
        <v/>
      </c>
      <c r="AX54" s="416"/>
      <c r="AY54" s="415" t="str">
        <f>IF(AX54="","",AX54*'Tabella Carichi Unitari'!$G$10)</f>
        <v/>
      </c>
      <c r="AZ54" s="415" t="str">
        <f>IF(AX54="","",AX54*'Tabella Carichi Unitari'!$H$10)</f>
        <v/>
      </c>
      <c r="BA54" s="415" t="str">
        <f>IF(AX54="","",AX54*'Tabella Carichi Unitari'!$C$10)</f>
        <v/>
      </c>
      <c r="BB54" s="109" t="str">
        <f>IF(AX54="","",AX54*'Tabella Carichi Unitari'!$K$10)</f>
        <v/>
      </c>
    </row>
    <row r="55" spans="1:54" x14ac:dyDescent="0.25">
      <c r="A55" s="136" t="s">
        <v>315</v>
      </c>
      <c r="B55" s="416"/>
      <c r="C55" s="415" t="str">
        <f>IF(B55="","",B55*'Tabella Carichi Unitari'!$G$12)</f>
        <v/>
      </c>
      <c r="D55" s="415" t="str">
        <f>IF(B55="","",B55*'Tabella Carichi Unitari'!$H$12)</f>
        <v/>
      </c>
      <c r="E55" s="415" t="str">
        <f>IF(B55="","",B55*'Tabella Carichi Unitari'!$C$12)</f>
        <v/>
      </c>
      <c r="F55" s="109" t="str">
        <f>IF(B55="","",B55*'Tabella Carichi Unitari'!$K$12)</f>
        <v/>
      </c>
      <c r="G55" s="416"/>
      <c r="H55" s="415" t="str">
        <f>IF(G55="","",G55*'Tabella Carichi Unitari'!$G$12)</f>
        <v/>
      </c>
      <c r="I55" s="415" t="str">
        <f>IF(G55="","",G55*'Tabella Carichi Unitari'!$H$12)</f>
        <v/>
      </c>
      <c r="J55" s="415" t="str">
        <f>IF(G55="","",G55*'Tabella Carichi Unitari'!$C$12)</f>
        <v/>
      </c>
      <c r="K55" s="109" t="str">
        <f>IF(G55="","",G55*'Tabella Carichi Unitari'!$K$12)</f>
        <v/>
      </c>
      <c r="L55" s="416"/>
      <c r="M55" s="415" t="str">
        <f>IF(L55="","",L55*'Tabella Carichi Unitari'!$G$12)</f>
        <v/>
      </c>
      <c r="N55" s="415" t="str">
        <f>IF(L55="","",L55*'Tabella Carichi Unitari'!$H$12)</f>
        <v/>
      </c>
      <c r="O55" s="415" t="str">
        <f>IF(L55="","",L55*'Tabella Carichi Unitari'!$C$12)</f>
        <v/>
      </c>
      <c r="P55" s="109" t="str">
        <f>IF(L55="","",L55*'Tabella Carichi Unitari'!$K$12)</f>
        <v/>
      </c>
      <c r="Q55" s="416"/>
      <c r="R55" s="415" t="str">
        <f>IF(Q55="","",Q55*'Tabella Carichi Unitari'!$G$12)</f>
        <v/>
      </c>
      <c r="S55" s="415" t="str">
        <f>IF(Q55="","",Q55*'Tabella Carichi Unitari'!$H$12)</f>
        <v/>
      </c>
      <c r="T55" s="415" t="str">
        <f>IF(Q55="","",Q55*'Tabella Carichi Unitari'!$C$12)</f>
        <v/>
      </c>
      <c r="U55" s="109" t="str">
        <f>IF(Q55="","",Q55*'Tabella Carichi Unitari'!$K$12)</f>
        <v/>
      </c>
      <c r="V55" s="416"/>
      <c r="W55" s="415" t="str">
        <f>IF(V55="","",V55*'Tabella Carichi Unitari'!$G$12)</f>
        <v/>
      </c>
      <c r="X55" s="415" t="str">
        <f>IF(V55="","",V55*'Tabella Carichi Unitari'!$H$12)</f>
        <v/>
      </c>
      <c r="Y55" s="415" t="str">
        <f>IF(V55="","",V55*'Tabella Carichi Unitari'!$C$12)</f>
        <v/>
      </c>
      <c r="Z55" s="109" t="str">
        <f>IF(V55="","",V55*'Tabella Carichi Unitari'!$K$12)</f>
        <v/>
      </c>
      <c r="AB55" s="416"/>
      <c r="AC55" t="s">
        <v>315</v>
      </c>
      <c r="AD55" s="106"/>
      <c r="AE55" s="415" t="str">
        <f>IF(AD55="","",AD55*'Tabella Carichi Unitari'!$G$12)</f>
        <v/>
      </c>
      <c r="AF55" s="415" t="str">
        <f>IF(AD55="","",AD55*'Tabella Carichi Unitari'!$H$12)</f>
        <v/>
      </c>
      <c r="AG55" s="415" t="str">
        <f>IF(AD55="","",AD55*'Tabella Carichi Unitari'!$C$12)</f>
        <v/>
      </c>
      <c r="AH55" s="415" t="str">
        <f>IF(AD55="","",AD55*'Tabella Carichi Unitari'!$K$12)</f>
        <v/>
      </c>
      <c r="AI55" s="106"/>
      <c r="AJ55" s="415" t="str">
        <f>IF(AI55="","",AI55*'Tabella Carichi Unitari'!$G$12)</f>
        <v/>
      </c>
      <c r="AK55" s="415" t="str">
        <f>IF(AI55="","",AI55*'Tabella Carichi Unitari'!$H$12)</f>
        <v/>
      </c>
      <c r="AL55" s="415" t="str">
        <f>IF(AI55="","",AI55*'Tabella Carichi Unitari'!$C$12)</f>
        <v/>
      </c>
      <c r="AM55" s="415" t="str">
        <f>IF(AI55="","",AI55*'Tabella Carichi Unitari'!$K$12)</f>
        <v/>
      </c>
      <c r="AN55" s="106"/>
      <c r="AO55" s="415" t="str">
        <f>IF(AN55="","",AN55*'Tabella Carichi Unitari'!$G$12)</f>
        <v/>
      </c>
      <c r="AP55" s="415" t="str">
        <f>IF(AN55="","",AN55*'Tabella Carichi Unitari'!$H$12)</f>
        <v/>
      </c>
      <c r="AQ55" s="415" t="str">
        <f>IF(AN55="","",AN55*'Tabella Carichi Unitari'!$C$12)</f>
        <v/>
      </c>
      <c r="AR55" s="109" t="str">
        <f>IF(AN55="","",AN55*'Tabella Carichi Unitari'!$K$12)</f>
        <v/>
      </c>
      <c r="AS55" s="416"/>
      <c r="AT55" s="415" t="str">
        <f>IF(AS55="","",AS55*'Tabella Carichi Unitari'!$G$12)</f>
        <v/>
      </c>
      <c r="AU55" s="415" t="str">
        <f>IF(AS55="","",AS55*'Tabella Carichi Unitari'!$H$12)</f>
        <v/>
      </c>
      <c r="AV55" s="415" t="str">
        <f>IF(AS55="","",AS55*'Tabella Carichi Unitari'!$C$12)</f>
        <v/>
      </c>
      <c r="AW55" s="109" t="str">
        <f>IF(AS55="","",AS55*'Tabella Carichi Unitari'!$K$12)</f>
        <v/>
      </c>
      <c r="AX55" s="416"/>
      <c r="AY55" s="415" t="str">
        <f>IF(AX55="","",AX55*'Tabella Carichi Unitari'!$G$12)</f>
        <v/>
      </c>
      <c r="AZ55" s="415" t="str">
        <f>IF(AX55="","",AX55*'Tabella Carichi Unitari'!$H$12)</f>
        <v/>
      </c>
      <c r="BA55" s="415" t="str">
        <f>IF(AX55="","",AX55*'Tabella Carichi Unitari'!$C$12)</f>
        <v/>
      </c>
      <c r="BB55" s="109" t="str">
        <f>IF(AX55="","",AX55*'Tabella Carichi Unitari'!$K$12)</f>
        <v/>
      </c>
    </row>
    <row r="56" spans="1:54" x14ac:dyDescent="0.25">
      <c r="A56" s="136" t="s">
        <v>391</v>
      </c>
      <c r="B56" s="416"/>
      <c r="C56" s="415" t="str">
        <f>IF(B56="","",B56*'Tabella Carichi Unitari'!$G$15)</f>
        <v/>
      </c>
      <c r="D56" s="415" t="str">
        <f>IF(B56="","",B56*'Tabella Carichi Unitari'!$H$15)</f>
        <v/>
      </c>
      <c r="E56" s="415" t="str">
        <f>IF(B56="","",B56*'Tabella Carichi Unitari'!$C$15)</f>
        <v/>
      </c>
      <c r="F56" s="109" t="str">
        <f>IF(B56="","",B56*'Tabella Carichi Unitari'!$K$15)</f>
        <v/>
      </c>
      <c r="G56" s="416"/>
      <c r="H56" s="415" t="str">
        <f>IF(G56="","",G56*'Tabella Carichi Unitari'!$G$14)</f>
        <v/>
      </c>
      <c r="I56" s="415" t="str">
        <f>IF(G56="","",G56*'Tabella Carichi Unitari'!$H$14)</f>
        <v/>
      </c>
      <c r="J56" s="415" t="str">
        <f>IF(G56="","",G56*'Tabella Carichi Unitari'!$C$14)</f>
        <v/>
      </c>
      <c r="K56" s="109" t="str">
        <f>IF(G56="","",G56*'Tabella Carichi Unitari'!$K$14)</f>
        <v/>
      </c>
      <c r="L56" s="416"/>
      <c r="M56" s="415" t="str">
        <f>IF(L56="","",L56*'Tabella Carichi Unitari'!$G$13)</f>
        <v/>
      </c>
      <c r="N56" s="415" t="str">
        <f>IF(L56="","",L56*'Tabella Carichi Unitari'!$H$13)</f>
        <v/>
      </c>
      <c r="O56" s="415" t="str">
        <f>IF(L56="","",L56*'Tabella Carichi Unitari'!$C$13)</f>
        <v/>
      </c>
      <c r="P56" s="109" t="str">
        <f>IF(L56="","",L56*'Tabella Carichi Unitari'!$K$13)</f>
        <v/>
      </c>
      <c r="Q56" s="416"/>
      <c r="R56" s="415" t="str">
        <f>IF(Q56="","",Q56*'Tabella Carichi Unitari'!$G$13)</f>
        <v/>
      </c>
      <c r="S56" s="415" t="str">
        <f>IF(Q56="","",Q56*'Tabella Carichi Unitari'!$H$13)</f>
        <v/>
      </c>
      <c r="T56" s="415" t="str">
        <f>IF(Q56="","",Q56*'Tabella Carichi Unitari'!$C$13)</f>
        <v/>
      </c>
      <c r="U56" s="109" t="str">
        <f>IF(Q56="","",Q56*'Tabella Carichi Unitari'!$K$13)</f>
        <v/>
      </c>
      <c r="V56" s="416"/>
      <c r="W56" s="415" t="str">
        <f>IF(V56="","",V56*'Tabella Carichi Unitari'!$G$13)</f>
        <v/>
      </c>
      <c r="X56" s="415" t="str">
        <f>IF(V56="","",V56*'Tabella Carichi Unitari'!$H$13)</f>
        <v/>
      </c>
      <c r="Y56" s="415" t="str">
        <f>IF(V56="","",V56*'Tabella Carichi Unitari'!$C$13)</f>
        <v/>
      </c>
      <c r="Z56" s="109" t="str">
        <f>IF(V56="","",V56*'Tabella Carichi Unitari'!$K$13)</f>
        <v/>
      </c>
      <c r="AB56" s="416"/>
      <c r="AC56" t="s">
        <v>391</v>
      </c>
      <c r="AD56" s="306">
        <v>1</v>
      </c>
      <c r="AE56" s="415">
        <f>IF(AD56="","",AD56*'Tabella Carichi Unitari'!$G$15)</f>
        <v>3.8415000000000004</v>
      </c>
      <c r="AF56" s="415">
        <f>IF(AD56="","",AD56*'Tabella Carichi Unitari'!$H$15)</f>
        <v>0</v>
      </c>
      <c r="AG56" s="415">
        <f>IF(AD56="","",AD56*'Tabella Carichi Unitari'!$C$15)</f>
        <v>2.9550000000000001</v>
      </c>
      <c r="AH56" s="415">
        <f>IF(AD56="","",AD56*'Tabella Carichi Unitari'!$K$15)</f>
        <v>0</v>
      </c>
      <c r="AI56" s="306">
        <v>1</v>
      </c>
      <c r="AJ56" s="415">
        <f>IF(AI56="","",AI56*'Tabella Carichi Unitari'!$G$14)</f>
        <v>4.8165000000000004</v>
      </c>
      <c r="AK56" s="415">
        <f>IF(AI56="","",AI56*'Tabella Carichi Unitari'!$H$14)</f>
        <v>0</v>
      </c>
      <c r="AL56" s="415">
        <f>IF(AI56="","",AI56*'Tabella Carichi Unitari'!$C$14)</f>
        <v>3.7050000000000001</v>
      </c>
      <c r="AM56" s="415">
        <f>IF(AI56="","",AI56*'Tabella Carichi Unitari'!$K$14)</f>
        <v>0</v>
      </c>
      <c r="AN56" s="306">
        <v>1</v>
      </c>
      <c r="AO56" s="415">
        <f>IF(AN56="","",AN56*'Tabella Carichi Unitari'!$G$13)</f>
        <v>5.7915000000000001</v>
      </c>
      <c r="AP56" s="415">
        <f>IF(AN56="","",AN56*'Tabella Carichi Unitari'!$H$13)</f>
        <v>0</v>
      </c>
      <c r="AQ56" s="415">
        <f>IF(AN56="","",AN56*'Tabella Carichi Unitari'!$C$13)</f>
        <v>4.4550000000000001</v>
      </c>
      <c r="AR56" s="109">
        <f>IF(AN56="","",AN56*'Tabella Carichi Unitari'!$K$13)</f>
        <v>0</v>
      </c>
      <c r="AS56" s="416">
        <v>1</v>
      </c>
      <c r="AT56" s="415">
        <f>IF(AS56="","",AS56*'Tabella Carichi Unitari'!$G$13)</f>
        <v>5.7915000000000001</v>
      </c>
      <c r="AU56" s="415">
        <f>IF(AS56="","",AS56*'Tabella Carichi Unitari'!$H$13)</f>
        <v>0</v>
      </c>
      <c r="AV56" s="415">
        <f>IF(AS56="","",AS56*'Tabella Carichi Unitari'!$C$13)</f>
        <v>4.4550000000000001</v>
      </c>
      <c r="AW56" s="109">
        <f>IF(AS56="","",AS56*'Tabella Carichi Unitari'!$K$13)</f>
        <v>0</v>
      </c>
      <c r="AX56" s="416">
        <v>1</v>
      </c>
      <c r="AY56" s="415">
        <f>IF(AX56="","",AX56*'Tabella Carichi Unitari'!$G$13)</f>
        <v>5.7915000000000001</v>
      </c>
      <c r="AZ56" s="415">
        <f>IF(AX56="","",AX56*'Tabella Carichi Unitari'!$H$13)</f>
        <v>0</v>
      </c>
      <c r="BA56" s="415">
        <f>IF(AX56="","",AX56*'Tabella Carichi Unitari'!$C$13)</f>
        <v>4.4550000000000001</v>
      </c>
      <c r="BB56" s="109">
        <f>IF(AX56="","",AX56*'Tabella Carichi Unitari'!$K$13)</f>
        <v>0</v>
      </c>
    </row>
    <row r="57" spans="1:54" x14ac:dyDescent="0.25">
      <c r="A57" s="136" t="s">
        <v>392</v>
      </c>
      <c r="B57" s="416">
        <v>1</v>
      </c>
      <c r="C57" s="415">
        <f>IF(B57="","",B57*'Tabella Carichi Unitari'!$G$16)</f>
        <v>6.1932000000000009</v>
      </c>
      <c r="D57" s="415">
        <f>IF(B57="","",B57*'Tabella Carichi Unitari'!$H$16)</f>
        <v>0</v>
      </c>
      <c r="E57" s="415">
        <f>IF(B57="","",B57*'Tabella Carichi Unitari'!$C$16)</f>
        <v>4.7640000000000002</v>
      </c>
      <c r="F57" s="109">
        <f>IF(B57="","",B57*'Tabella Carichi Unitari'!$K$16)</f>
        <v>0</v>
      </c>
      <c r="G57" s="416">
        <v>1</v>
      </c>
      <c r="H57" s="415">
        <f>IF(G57="","",G57*'Tabella Carichi Unitari'!$G$16)</f>
        <v>6.1932000000000009</v>
      </c>
      <c r="I57" s="415">
        <f>IF(G57="","",G57*'Tabella Carichi Unitari'!$H$16)</f>
        <v>0</v>
      </c>
      <c r="J57" s="415">
        <f>IF(G57="","",G57*'Tabella Carichi Unitari'!$C$16)</f>
        <v>4.7640000000000002</v>
      </c>
      <c r="K57" s="109">
        <f>IF(G57="","",G57*'Tabella Carichi Unitari'!$K$16)</f>
        <v>0</v>
      </c>
      <c r="L57" s="416">
        <v>1</v>
      </c>
      <c r="M57" s="415">
        <f>IF(L57="","",L57*'Tabella Carichi Unitari'!$G$16)</f>
        <v>6.1932000000000009</v>
      </c>
      <c r="N57" s="415">
        <f>IF(L57="","",L57*'Tabella Carichi Unitari'!$H$16)</f>
        <v>0</v>
      </c>
      <c r="O57" s="415">
        <f>IF(L57="","",L57*'Tabella Carichi Unitari'!$C$16)</f>
        <v>4.7640000000000002</v>
      </c>
      <c r="P57" s="109">
        <f>IF(L57="","",L57*'Tabella Carichi Unitari'!$K$16)</f>
        <v>0</v>
      </c>
      <c r="Q57" s="416">
        <v>1</v>
      </c>
      <c r="R57" s="415">
        <f>IF(Q57="","",Q57*'Tabella Carichi Unitari'!$G$16)</f>
        <v>6.1932000000000009</v>
      </c>
      <c r="S57" s="415">
        <f>IF(Q57="","",Q57*'Tabella Carichi Unitari'!$H$16)</f>
        <v>0</v>
      </c>
      <c r="T57" s="415">
        <f>IF(Q57="","",Q57*'Tabella Carichi Unitari'!$C$16)</f>
        <v>4.7640000000000002</v>
      </c>
      <c r="U57" s="109">
        <f>IF(Q57="","",Q57*'Tabella Carichi Unitari'!$K$16)</f>
        <v>0</v>
      </c>
      <c r="V57" s="416">
        <v>1</v>
      </c>
      <c r="W57" s="415">
        <f>IF(V57="","",V57*'Tabella Carichi Unitari'!$G$16)</f>
        <v>6.1932000000000009</v>
      </c>
      <c r="X57" s="415">
        <f>IF(V57="","",V57*'Tabella Carichi Unitari'!$H$16)</f>
        <v>0</v>
      </c>
      <c r="Y57" s="415">
        <f>IF(V57="","",V57*'Tabella Carichi Unitari'!$C$16)</f>
        <v>4.7640000000000002</v>
      </c>
      <c r="Z57" s="109">
        <f>IF(V57="","",V57*'Tabella Carichi Unitari'!$K$16)</f>
        <v>0</v>
      </c>
      <c r="AB57" s="416"/>
      <c r="AC57" t="s">
        <v>392</v>
      </c>
      <c r="AD57" s="306"/>
      <c r="AE57" s="415" t="str">
        <f>IF(AD57="","",AD57*'Tabella Carichi Unitari'!$G$16)</f>
        <v/>
      </c>
      <c r="AF57" s="415" t="str">
        <f>IF(AD57="","",AD57*'Tabella Carichi Unitari'!$H$16)</f>
        <v/>
      </c>
      <c r="AG57" s="415" t="str">
        <f>IF(AD57="","",AD57*'Tabella Carichi Unitari'!$C$16)</f>
        <v/>
      </c>
      <c r="AH57" s="415" t="str">
        <f>IF(AD57="","",AD57*'Tabella Carichi Unitari'!$K$16)</f>
        <v/>
      </c>
      <c r="AI57" s="306"/>
      <c r="AJ57" s="415" t="str">
        <f>IF(AI57="","",AI57*'Tabella Carichi Unitari'!$G$16)</f>
        <v/>
      </c>
      <c r="AK57" s="415" t="str">
        <f>IF(AI57="","",AI57*'Tabella Carichi Unitari'!$H$16)</f>
        <v/>
      </c>
      <c r="AL57" s="415" t="str">
        <f>IF(AI57="","",AI57*'Tabella Carichi Unitari'!$C$16)</f>
        <v/>
      </c>
      <c r="AM57" s="415" t="str">
        <f>IF(AI57="","",AI57*'Tabella Carichi Unitari'!$K$16)</f>
        <v/>
      </c>
      <c r="AN57" s="306"/>
      <c r="AO57" s="415" t="str">
        <f>IF(AN57="","",AN57*'Tabella Carichi Unitari'!$G$9)</f>
        <v/>
      </c>
      <c r="AP57" s="415" t="str">
        <f>IF(AN57="","",AN57*'Tabella Carichi Unitari'!$H$9)</f>
        <v/>
      </c>
      <c r="AQ57" s="415" t="str">
        <f>IF(AN57="","",AN57*'Tabella Carichi Unitari'!$C$9)</f>
        <v/>
      </c>
      <c r="AR57" s="109" t="str">
        <f>IF(AN57="","",AN57*'Tabella Carichi Unitari'!$K$9)</f>
        <v/>
      </c>
      <c r="AS57" s="416"/>
      <c r="AT57" s="415" t="str">
        <f>IF(AS57="","",AS57*'Tabella Carichi Unitari'!$G$9)</f>
        <v/>
      </c>
      <c r="AU57" s="415" t="str">
        <f>IF(AS57="","",AS57*'Tabella Carichi Unitari'!$H$9)</f>
        <v/>
      </c>
      <c r="AV57" s="415" t="str">
        <f>IF(AS57="","",AS57*'Tabella Carichi Unitari'!$C$9)</f>
        <v/>
      </c>
      <c r="AW57" s="109" t="str">
        <f>IF(AS57="","",AS57*'Tabella Carichi Unitari'!$K$9)</f>
        <v/>
      </c>
      <c r="AX57" s="416"/>
      <c r="AY57" s="415" t="str">
        <f>IF(AX57="","",AX57*'Tabella Carichi Unitari'!$G$9)</f>
        <v/>
      </c>
      <c r="AZ57" s="415" t="str">
        <f>IF(AX57="","",AX57*'Tabella Carichi Unitari'!$H$9)</f>
        <v/>
      </c>
      <c r="BA57" s="415" t="str">
        <f>IF(AX57="","",AX57*'Tabella Carichi Unitari'!$C$9)</f>
        <v/>
      </c>
      <c r="BB57" s="109" t="str">
        <f>IF(AX57="","",AX57*'Tabella Carichi Unitari'!$K$9)</f>
        <v/>
      </c>
    </row>
    <row r="58" spans="1:54" x14ac:dyDescent="0.25">
      <c r="A58" s="136" t="s">
        <v>313</v>
      </c>
      <c r="B58" s="416"/>
      <c r="C58" s="168" t="str">
        <f>IF(B58="","",B58*'Tabella Carichi Unitari'!$G$17)</f>
        <v/>
      </c>
      <c r="D58" s="168" t="str">
        <f>IF(B58="","",B58*'Tabella Carichi Unitari'!$H$17)</f>
        <v/>
      </c>
      <c r="E58" s="168" t="str">
        <f>IF(B58="","",B58*'Tabella Carichi Unitari'!$C$17)</f>
        <v/>
      </c>
      <c r="F58" s="110" t="str">
        <f>IF(B58="","",B58*'Tabella Carichi Unitari'!$K$17)</f>
        <v/>
      </c>
      <c r="G58" s="416"/>
      <c r="H58" s="168" t="str">
        <f>IF(G58="","",G58*'Tabella Carichi Unitari'!$G$17)</f>
        <v/>
      </c>
      <c r="I58" s="168" t="str">
        <f>IF(G58="","",G58*'Tabella Carichi Unitari'!$H$17)</f>
        <v/>
      </c>
      <c r="J58" s="168" t="str">
        <f>IF(G58="","",G58*'Tabella Carichi Unitari'!$C$17)</f>
        <v/>
      </c>
      <c r="K58" s="110" t="str">
        <f>IF(G58="","",G58*'Tabella Carichi Unitari'!$K$17)</f>
        <v/>
      </c>
      <c r="L58" s="416"/>
      <c r="M58" s="168" t="str">
        <f>IF(L58="","",L58*'Tabella Carichi Unitari'!$G$17)</f>
        <v/>
      </c>
      <c r="N58" s="168" t="str">
        <f>IF(L58="","",L58*'Tabella Carichi Unitari'!$H$17)</f>
        <v/>
      </c>
      <c r="O58" s="168" t="str">
        <f>IF(L58="","",L58*'Tabella Carichi Unitari'!$C$17)</f>
        <v/>
      </c>
      <c r="P58" s="110" t="str">
        <f>IF(L58="","",L58*'Tabella Carichi Unitari'!$K$17)</f>
        <v/>
      </c>
      <c r="Q58" s="416"/>
      <c r="R58" s="168" t="str">
        <f>IF(Q58="","",Q58*'Tabella Carichi Unitari'!$G$17)</f>
        <v/>
      </c>
      <c r="S58" s="168" t="str">
        <f>IF(Q58="","",Q58*'Tabella Carichi Unitari'!$H$17)</f>
        <v/>
      </c>
      <c r="T58" s="168" t="str">
        <f>IF(Q58="","",Q58*'Tabella Carichi Unitari'!$C$17)</f>
        <v/>
      </c>
      <c r="U58" s="110" t="str">
        <f>IF(Q58="","",Q58*'Tabella Carichi Unitari'!$K$17)</f>
        <v/>
      </c>
      <c r="V58" s="416"/>
      <c r="W58" s="168" t="str">
        <f>IF(V58="","",V58*'Tabella Carichi Unitari'!$G$17)</f>
        <v/>
      </c>
      <c r="X58" s="168" t="str">
        <f>IF(V58="","",V58*'Tabella Carichi Unitari'!$H$17)</f>
        <v/>
      </c>
      <c r="Y58" s="168" t="str">
        <f>IF(V58="","",V58*'Tabella Carichi Unitari'!$C$17)</f>
        <v/>
      </c>
      <c r="Z58" s="110" t="str">
        <f>IF(V58="","",V58*'Tabella Carichi Unitari'!$K$17)</f>
        <v/>
      </c>
      <c r="AB58" s="416"/>
      <c r="AC58" t="s">
        <v>313</v>
      </c>
      <c r="AD58" s="306"/>
      <c r="AE58" s="168" t="str">
        <f>IF(AD58="","",AD58*'Tabella Carichi Unitari'!$G$17)</f>
        <v/>
      </c>
      <c r="AF58" s="168" t="str">
        <f>IF(AD58="","",AD58*'Tabella Carichi Unitari'!$H$17)</f>
        <v/>
      </c>
      <c r="AG58" s="168" t="str">
        <f>IF(AD58="","",AD58*'Tabella Carichi Unitari'!$C$17)</f>
        <v/>
      </c>
      <c r="AH58" s="110" t="str">
        <f>IF(AD58="","",AD58*'Tabella Carichi Unitari'!$K$17)</f>
        <v/>
      </c>
      <c r="AI58" s="306">
        <v>0.9</v>
      </c>
      <c r="AJ58" s="168">
        <f>IF(AI58="","",AI58*'Tabella Carichi Unitari'!$G$17)</f>
        <v>6.7860000000000014</v>
      </c>
      <c r="AK58" s="168">
        <f>IF(AI58="","",AI58*'Tabella Carichi Unitari'!$H$17)</f>
        <v>0</v>
      </c>
      <c r="AL58" s="168">
        <f>IF(AI58="","",AI58*'Tabella Carichi Unitari'!$C$17)</f>
        <v>5.2200000000000006</v>
      </c>
      <c r="AM58" s="110">
        <f>IF(AI58="","",AI58*'Tabella Carichi Unitari'!$K$17)</f>
        <v>0</v>
      </c>
      <c r="AN58" s="306">
        <v>0.9</v>
      </c>
      <c r="AO58" s="168">
        <f>IF(AN58="","",AN58*'Tabella Carichi Unitari'!$G$17)</f>
        <v>6.7860000000000014</v>
      </c>
      <c r="AP58" s="168">
        <f>IF(AN58="","",AN58*'Tabella Carichi Unitari'!$H$17)</f>
        <v>0</v>
      </c>
      <c r="AQ58" s="168">
        <f>IF(AN58="","",AN58*'Tabella Carichi Unitari'!$C$17)</f>
        <v>5.2200000000000006</v>
      </c>
      <c r="AR58" s="110">
        <f>IF(AN58="","",AN58*'Tabella Carichi Unitari'!$K$17)</f>
        <v>0</v>
      </c>
      <c r="AS58" s="416">
        <v>0.9</v>
      </c>
      <c r="AT58" s="168">
        <f>IF(AS58="","",AS58*'Tabella Carichi Unitari'!$G$17)</f>
        <v>6.7860000000000014</v>
      </c>
      <c r="AU58" s="168">
        <f>IF(AS58="","",AS58*'Tabella Carichi Unitari'!$H$17)</f>
        <v>0</v>
      </c>
      <c r="AV58" s="168">
        <f>IF(AS58="","",AS58*'Tabella Carichi Unitari'!$C$17)</f>
        <v>5.2200000000000006</v>
      </c>
      <c r="AW58" s="110">
        <f>IF(AS58="","",AS58*'Tabella Carichi Unitari'!$K$17)</f>
        <v>0</v>
      </c>
      <c r="AX58" s="416">
        <v>0.9</v>
      </c>
      <c r="AY58" s="168">
        <f>IF(AX58="","",AX58*'Tabella Carichi Unitari'!$G$17)</f>
        <v>6.7860000000000014</v>
      </c>
      <c r="AZ58" s="168">
        <f>IF(AX58="","",AX58*'Tabella Carichi Unitari'!$H$17)</f>
        <v>0</v>
      </c>
      <c r="BA58" s="168">
        <f>IF(AX58="","",AX58*'Tabella Carichi Unitari'!$C$17)</f>
        <v>5.2200000000000006</v>
      </c>
      <c r="BB58" s="110">
        <f>IF(AX58="","",AX58*'Tabella Carichi Unitari'!$K$17)</f>
        <v>0</v>
      </c>
    </row>
    <row r="59" spans="1:54" x14ac:dyDescent="0.25">
      <c r="A59" s="136"/>
      <c r="B59" s="416"/>
      <c r="C59" s="415">
        <f>SUM(C53:C58)</f>
        <v>11.80569</v>
      </c>
      <c r="D59" s="415">
        <f t="shared" ref="D59" si="22">SUM(D53:D58)</f>
        <v>0.83024999999999982</v>
      </c>
      <c r="E59" s="415">
        <f t="shared" ref="E59" si="23">SUM(E53:E58)</f>
        <v>9.0812999999999988</v>
      </c>
      <c r="F59" s="415">
        <f t="shared" ref="F59" si="24">SUM(F53:F58)</f>
        <v>0</v>
      </c>
      <c r="G59" s="415"/>
      <c r="H59" s="415">
        <f t="shared" ref="H59" si="25">SUM(H53:H58)</f>
        <v>12.107900999999998</v>
      </c>
      <c r="I59" s="415">
        <f t="shared" ref="I59" si="26">SUM(I53:I58)</f>
        <v>6.6419999999999986</v>
      </c>
      <c r="J59" s="415">
        <f t="shared" ref="J59" si="27">SUM(J53:J58)</f>
        <v>9.3137699999999981</v>
      </c>
      <c r="K59" s="415">
        <f t="shared" ref="K59" si="28">SUM(K53:K58)</f>
        <v>2.6567999999999992</v>
      </c>
      <c r="L59" s="415"/>
      <c r="M59" s="415">
        <f t="shared" ref="M59" si="29">SUM(M53:M58)</f>
        <v>12.107900999999998</v>
      </c>
      <c r="N59" s="415">
        <f t="shared" ref="N59" si="30">SUM(N53:N58)</f>
        <v>6.6419999999999986</v>
      </c>
      <c r="O59" s="415">
        <f t="shared" ref="O59" si="31">SUM(O53:O58)</f>
        <v>9.3137699999999981</v>
      </c>
      <c r="P59" s="415">
        <f t="shared" ref="P59" si="32">SUM(P53:P58)</f>
        <v>2.6567999999999992</v>
      </c>
      <c r="Q59" s="415"/>
      <c r="R59" s="415">
        <f t="shared" ref="R59" si="33">SUM(R53:R58)</f>
        <v>8.6993400000000012</v>
      </c>
      <c r="S59" s="415">
        <f t="shared" ref="S59" si="34">SUM(S53:S58)</f>
        <v>1.5</v>
      </c>
      <c r="T59" s="415">
        <f t="shared" ref="T59" si="35">SUM(T53:T58)</f>
        <v>6.6917999999999997</v>
      </c>
      <c r="U59" s="415">
        <f t="shared" ref="U59" si="36">SUM(U53:U58)</f>
        <v>0.3</v>
      </c>
      <c r="V59" s="415"/>
      <c r="W59" s="415">
        <f t="shared" ref="W59" si="37">SUM(W53:W58)</f>
        <v>8.6993400000000012</v>
      </c>
      <c r="X59" s="415">
        <f t="shared" ref="X59" si="38">SUM(X53:X58)</f>
        <v>1.5</v>
      </c>
      <c r="Y59" s="415">
        <f t="shared" ref="Y59" si="39">SUM(Y53:Y58)</f>
        <v>6.6917999999999997</v>
      </c>
      <c r="Z59" s="415">
        <f t="shared" ref="Z59" si="40">SUM(Z53:Z58)</f>
        <v>0.3</v>
      </c>
      <c r="AB59" s="416"/>
      <c r="AC59"/>
      <c r="AD59" s="306"/>
      <c r="AE59" s="415">
        <f>SUM(AE53:AE58)</f>
        <v>16.237000000000002</v>
      </c>
      <c r="AF59" s="415">
        <f>SUM(AF53:AF58)</f>
        <v>5.7374999999999998</v>
      </c>
      <c r="AG59" s="415">
        <f>SUM(AG53:AG58)</f>
        <v>12.49</v>
      </c>
      <c r="AH59" s="415">
        <f>SUM(AH53:AH58)</f>
        <v>1.05</v>
      </c>
      <c r="AI59" s="306"/>
      <c r="AJ59" s="415">
        <f>SUM(AJ53:AJ58)</f>
        <v>23.84694</v>
      </c>
      <c r="AK59" s="415">
        <f>SUM(AK53:AK58)</f>
        <v>9.15</v>
      </c>
      <c r="AL59" s="415">
        <f>SUM(AL53:AL58)</f>
        <v>18.343800000000002</v>
      </c>
      <c r="AM59" s="415">
        <f>SUM(AM53:AM58)</f>
        <v>2.6100000000000003</v>
      </c>
      <c r="AN59" s="306"/>
      <c r="AO59" s="415">
        <f>SUM(AO53:AO58)</f>
        <v>25.824396</v>
      </c>
      <c r="AP59" s="415">
        <f>SUM(AP53:AP58)</f>
        <v>9.75</v>
      </c>
      <c r="AQ59" s="415">
        <f>SUM(AQ53:AQ58)</f>
        <v>19.864919999999998</v>
      </c>
      <c r="AR59" s="109">
        <f>SUM(AR53:AR58)</f>
        <v>2.73</v>
      </c>
      <c r="AS59" s="416"/>
      <c r="AT59" s="415">
        <f>SUM(AT53:AT58)</f>
        <v>21.348990000000001</v>
      </c>
      <c r="AU59" s="415">
        <f t="shared" ref="AU59:AW59" si="41">SUM(AU53:AU58)</f>
        <v>5.25</v>
      </c>
      <c r="AV59" s="415">
        <f t="shared" si="41"/>
        <v>16.4223</v>
      </c>
      <c r="AW59" s="415">
        <f t="shared" si="41"/>
        <v>1.05</v>
      </c>
      <c r="AX59" s="416"/>
      <c r="AY59" s="415">
        <f>SUM(AY53:AY58)</f>
        <v>21.348990000000001</v>
      </c>
      <c r="AZ59" s="415">
        <f t="shared" ref="AZ59:BB59" si="42">SUM(AZ53:AZ58)</f>
        <v>5.25</v>
      </c>
      <c r="BA59" s="415">
        <f t="shared" si="42"/>
        <v>16.4223</v>
      </c>
      <c r="BB59" s="415">
        <f t="shared" si="42"/>
        <v>1.05</v>
      </c>
    </row>
    <row r="60" spans="1:54" x14ac:dyDescent="0.25">
      <c r="B60" s="416"/>
      <c r="C60" s="612">
        <f>C59+D59</f>
        <v>12.63594</v>
      </c>
      <c r="D60" s="612"/>
      <c r="E60" s="612">
        <f>E59+F59</f>
        <v>9.0812999999999988</v>
      </c>
      <c r="F60" s="612"/>
      <c r="G60" s="416"/>
      <c r="H60" s="612">
        <f>H59+I59</f>
        <v>18.749900999999998</v>
      </c>
      <c r="I60" s="612"/>
      <c r="J60" s="612">
        <f>J59+K59</f>
        <v>11.970569999999997</v>
      </c>
      <c r="K60" s="612"/>
      <c r="L60" s="416"/>
      <c r="M60" s="612">
        <f>M59+N59</f>
        <v>18.749900999999998</v>
      </c>
      <c r="N60" s="612"/>
      <c r="O60" s="612">
        <f>O59+P59</f>
        <v>11.970569999999997</v>
      </c>
      <c r="P60" s="612"/>
      <c r="Q60" s="416"/>
      <c r="R60" s="612">
        <f>R59+S59</f>
        <v>10.199340000000001</v>
      </c>
      <c r="S60" s="612"/>
      <c r="T60" s="612">
        <f>T59+U59</f>
        <v>6.9917999999999996</v>
      </c>
      <c r="U60" s="612"/>
      <c r="V60" s="416"/>
      <c r="W60" s="612">
        <f>W59+X59</f>
        <v>10.199340000000001</v>
      </c>
      <c r="X60" s="612"/>
      <c r="Y60" s="612">
        <f>Y59+Z59</f>
        <v>6.9917999999999996</v>
      </c>
      <c r="Z60" s="612"/>
      <c r="AB60" s="416"/>
      <c r="AC60"/>
      <c r="AD60" s="412"/>
      <c r="AE60" s="612">
        <f>AE59+AF59</f>
        <v>21.974500000000003</v>
      </c>
      <c r="AF60" s="612"/>
      <c r="AG60" s="612">
        <f>AG59+AH59</f>
        <v>13.540000000000001</v>
      </c>
      <c r="AH60" s="612"/>
      <c r="AI60" s="412"/>
      <c r="AJ60" s="612">
        <f>AJ59+AK59</f>
        <v>32.996940000000002</v>
      </c>
      <c r="AK60" s="612"/>
      <c r="AL60" s="612">
        <f>AL59+AM59</f>
        <v>20.953800000000001</v>
      </c>
      <c r="AM60" s="612"/>
      <c r="AN60" s="412"/>
      <c r="AO60" s="612">
        <f>AO59+AP59</f>
        <v>35.574396</v>
      </c>
      <c r="AP60" s="612"/>
      <c r="AQ60" s="612">
        <f>AQ59+AR59</f>
        <v>22.594919999999998</v>
      </c>
      <c r="AR60" s="612"/>
      <c r="AS60" s="416"/>
      <c r="AT60" s="612">
        <f>AT59+AU59</f>
        <v>26.598990000000001</v>
      </c>
      <c r="AU60" s="612"/>
      <c r="AV60" s="612">
        <f>AV59+AW59</f>
        <v>17.472300000000001</v>
      </c>
      <c r="AW60" s="612"/>
      <c r="AX60" s="416"/>
      <c r="AY60" s="612">
        <f>AY59+AZ59</f>
        <v>26.598990000000001</v>
      </c>
      <c r="AZ60" s="612"/>
      <c r="BA60" s="612">
        <f>BA59+BB59</f>
        <v>17.472300000000001</v>
      </c>
      <c r="BB60" s="612"/>
    </row>
    <row r="61" spans="1:54" x14ac:dyDescent="0.25">
      <c r="B61" s="416"/>
      <c r="G61" s="416"/>
      <c r="L61" s="416"/>
      <c r="Q61" s="416"/>
      <c r="V61" s="416"/>
      <c r="AB61" s="416"/>
      <c r="AC61" s="419" t="s">
        <v>434</v>
      </c>
      <c r="AD61" s="416"/>
      <c r="AE61"/>
      <c r="AF61"/>
      <c r="AG61"/>
      <c r="AH61"/>
      <c r="AI61" s="416"/>
      <c r="AJ61"/>
      <c r="AK61"/>
      <c r="AL61"/>
      <c r="AM61"/>
      <c r="AN61" s="416"/>
      <c r="AO61"/>
      <c r="AP61"/>
      <c r="AQ61"/>
      <c r="AR61"/>
      <c r="AS61" s="416"/>
      <c r="AT61"/>
      <c r="AU61"/>
      <c r="AV61"/>
      <c r="AW61"/>
      <c r="AX61" s="416"/>
    </row>
    <row r="62" spans="1:54" x14ac:dyDescent="0.25">
      <c r="A62" s="403" t="s">
        <v>393</v>
      </c>
      <c r="B62" s="416"/>
      <c r="C62" t="s">
        <v>399</v>
      </c>
      <c r="G62" s="416"/>
      <c r="H62" t="s">
        <v>400</v>
      </c>
      <c r="L62" s="416"/>
      <c r="M62" t="s">
        <v>401</v>
      </c>
      <c r="Q62" s="416"/>
      <c r="R62" t="s">
        <v>232</v>
      </c>
      <c r="V62" s="416"/>
      <c r="W62" t="s">
        <v>402</v>
      </c>
      <c r="AB62" s="416"/>
      <c r="AC62" s="403" t="s">
        <v>393</v>
      </c>
      <c r="AD62" s="416"/>
      <c r="AE62" t="s">
        <v>399</v>
      </c>
      <c r="AF62"/>
      <c r="AG62"/>
      <c r="AH62"/>
      <c r="AI62" s="416"/>
      <c r="AJ62" t="s">
        <v>400</v>
      </c>
      <c r="AK62"/>
      <c r="AL62"/>
      <c r="AM62"/>
      <c r="AN62" s="416"/>
      <c r="AO62" t="s">
        <v>401</v>
      </c>
      <c r="AP62"/>
      <c r="AQ62"/>
      <c r="AR62"/>
      <c r="AS62" s="416"/>
      <c r="AT62" t="s">
        <v>232</v>
      </c>
      <c r="AU62"/>
      <c r="AV62"/>
      <c r="AW62"/>
      <c r="AX62" s="416"/>
      <c r="AY62" t="s">
        <v>402</v>
      </c>
    </row>
    <row r="63" spans="1:54" x14ac:dyDescent="0.25">
      <c r="A63" s="404" t="s">
        <v>322</v>
      </c>
      <c r="B63" s="416"/>
      <c r="G63" s="416"/>
      <c r="L63" s="416"/>
      <c r="Q63" s="416"/>
      <c r="V63" s="416"/>
      <c r="AB63" s="416"/>
      <c r="AC63" s="404" t="s">
        <v>435</v>
      </c>
      <c r="AD63" s="416"/>
      <c r="AE63"/>
      <c r="AF63"/>
      <c r="AG63"/>
      <c r="AH63"/>
      <c r="AI63" s="416"/>
      <c r="AJ63"/>
      <c r="AK63"/>
      <c r="AL63"/>
      <c r="AM63"/>
      <c r="AN63" s="416"/>
      <c r="AO63"/>
      <c r="AP63"/>
      <c r="AQ63"/>
      <c r="AR63"/>
      <c r="AS63" s="416"/>
      <c r="AT63"/>
      <c r="AU63"/>
      <c r="AV63"/>
      <c r="AW63"/>
      <c r="AX63" s="416"/>
    </row>
    <row r="64" spans="1:54" x14ac:dyDescent="0.25">
      <c r="A64" s="136"/>
      <c r="B64" s="412"/>
      <c r="C64" s="416" t="s">
        <v>386</v>
      </c>
      <c r="D64" s="416" t="s">
        <v>396</v>
      </c>
      <c r="E64" s="416" t="s">
        <v>288</v>
      </c>
      <c r="F64" s="411" t="s">
        <v>406</v>
      </c>
      <c r="G64" s="412"/>
      <c r="H64" s="416" t="s">
        <v>386</v>
      </c>
      <c r="I64" s="416" t="s">
        <v>396</v>
      </c>
      <c r="J64" s="416" t="s">
        <v>288</v>
      </c>
      <c r="K64" s="411" t="s">
        <v>407</v>
      </c>
      <c r="L64" s="412"/>
      <c r="M64" s="416" t="s">
        <v>386</v>
      </c>
      <c r="N64" s="416" t="s">
        <v>396</v>
      </c>
      <c r="O64" s="416" t="s">
        <v>288</v>
      </c>
      <c r="P64" s="411" t="s">
        <v>407</v>
      </c>
      <c r="Q64" s="306"/>
      <c r="R64" s="416" t="s">
        <v>386</v>
      </c>
      <c r="S64" s="416" t="s">
        <v>396</v>
      </c>
      <c r="T64" s="416" t="s">
        <v>288</v>
      </c>
      <c r="U64" s="411" t="s">
        <v>407</v>
      </c>
      <c r="V64" s="306"/>
      <c r="W64" s="416" t="s">
        <v>386</v>
      </c>
      <c r="X64" s="416" t="s">
        <v>396</v>
      </c>
      <c r="Y64" s="416" t="s">
        <v>288</v>
      </c>
      <c r="Z64" s="411" t="s">
        <v>407</v>
      </c>
      <c r="AB64" s="416"/>
      <c r="AC64" s="136"/>
      <c r="AD64" s="416"/>
      <c r="AE64" s="416" t="s">
        <v>386</v>
      </c>
      <c r="AF64" s="416" t="s">
        <v>396</v>
      </c>
      <c r="AG64" s="416" t="s">
        <v>288</v>
      </c>
      <c r="AH64" s="411" t="s">
        <v>406</v>
      </c>
      <c r="AI64" s="412"/>
      <c r="AJ64" s="416" t="s">
        <v>386</v>
      </c>
      <c r="AK64" s="416" t="s">
        <v>396</v>
      </c>
      <c r="AL64" s="416" t="s">
        <v>288</v>
      </c>
      <c r="AM64" s="411" t="s">
        <v>407</v>
      </c>
      <c r="AN64" s="412"/>
      <c r="AO64" s="416" t="s">
        <v>386</v>
      </c>
      <c r="AP64" s="416" t="s">
        <v>396</v>
      </c>
      <c r="AQ64" s="416" t="s">
        <v>288</v>
      </c>
      <c r="AR64" s="411" t="s">
        <v>407</v>
      </c>
      <c r="AS64" s="306"/>
      <c r="AT64" s="416" t="s">
        <v>386</v>
      </c>
      <c r="AU64" s="416" t="s">
        <v>396</v>
      </c>
      <c r="AV64" s="416" t="s">
        <v>288</v>
      </c>
      <c r="AW64" s="411" t="s">
        <v>407</v>
      </c>
      <c r="AX64" s="306"/>
      <c r="AY64" s="416" t="s">
        <v>386</v>
      </c>
      <c r="AZ64" s="416" t="s">
        <v>396</v>
      </c>
      <c r="BA64" s="416" t="s">
        <v>288</v>
      </c>
      <c r="BB64" s="411" t="s">
        <v>407</v>
      </c>
    </row>
    <row r="65" spans="1:54" x14ac:dyDescent="0.25">
      <c r="A65" s="136" t="s">
        <v>312</v>
      </c>
      <c r="B65" s="416"/>
      <c r="C65" s="415" t="str">
        <f>IF(B65="","",B65*'Tabella Carichi Unitari'!$G$8)</f>
        <v/>
      </c>
      <c r="D65" s="415" t="str">
        <f>IF(B65="","",B65*'Tabella Carichi Unitari'!$H$8)</f>
        <v/>
      </c>
      <c r="E65" s="415" t="str">
        <f>IF(B65="","",B65*'Tabella Carichi Unitari'!$C$8)</f>
        <v/>
      </c>
      <c r="F65" s="109" t="str">
        <f>IF(B65="","",B65*'Tabella Carichi Unitari'!$K$8)</f>
        <v/>
      </c>
      <c r="G65" s="416"/>
      <c r="H65" s="415" t="str">
        <f>IF(G65="","",G65*'Tabella Carichi Unitari'!$G$5)</f>
        <v/>
      </c>
      <c r="I65" s="415" t="str">
        <f>IF(G65="","",G65*'Tabella Carichi Unitari'!$H$5)</f>
        <v/>
      </c>
      <c r="J65" s="415" t="str">
        <f>IF(G65="","",G65*'Tabella Carichi Unitari'!$C$5)</f>
        <v/>
      </c>
      <c r="K65" s="109" t="str">
        <f>IF(G65="","",G65*'Tabella Carichi Unitari'!$K$5)</f>
        <v/>
      </c>
      <c r="L65" s="416"/>
      <c r="M65" s="415" t="str">
        <f>IF(L65="","",L65*'Tabella Carichi Unitari'!$G$5)</f>
        <v/>
      </c>
      <c r="N65" s="415" t="str">
        <f>IF(L65="","",L65*'Tabella Carichi Unitari'!$H$5)</f>
        <v/>
      </c>
      <c r="O65" s="415" t="str">
        <f>IF(L65="","",L65*'Tabella Carichi Unitari'!$C$5)</f>
        <v/>
      </c>
      <c r="P65" s="109" t="str">
        <f>IF(L65="","",L65*'Tabella Carichi Unitari'!$K$5)</f>
        <v/>
      </c>
      <c r="Q65" s="416">
        <v>0.5</v>
      </c>
      <c r="R65" s="415">
        <f>IF(Q65="","",Q65*'Tabella Carichi Unitari'!$G$5)</f>
        <v>2.5061399999999998</v>
      </c>
      <c r="S65" s="415">
        <f>IF(Q65="","",Q65*'Tabella Carichi Unitari'!$H$5)</f>
        <v>1.5</v>
      </c>
      <c r="T65" s="415">
        <f>IF(Q65="","",Q65*'Tabella Carichi Unitari'!$C$5)</f>
        <v>1.9277999999999997</v>
      </c>
      <c r="U65" s="109">
        <f>IF(Q65="","",Q65*'Tabella Carichi Unitari'!$K$5)</f>
        <v>0.3</v>
      </c>
      <c r="V65" s="416">
        <v>0.5</v>
      </c>
      <c r="W65" s="415">
        <f>IF(V65="","",V65*'Tabella Carichi Unitari'!$G$5)</f>
        <v>2.5061399999999998</v>
      </c>
      <c r="X65" s="415">
        <f>IF(V65="","",V65*'Tabella Carichi Unitari'!$H$5)</f>
        <v>1.5</v>
      </c>
      <c r="Y65" s="415">
        <f>IF(V65="","",V65*'Tabella Carichi Unitari'!$C$5)</f>
        <v>1.9277999999999997</v>
      </c>
      <c r="Z65" s="109">
        <f>IF(V65="","",V65*'Tabella Carichi Unitari'!$K$5)</f>
        <v>0.3</v>
      </c>
      <c r="AB65" s="416"/>
      <c r="AC65" s="136" t="s">
        <v>312</v>
      </c>
      <c r="AD65" s="416">
        <f>((3.9/2)+(4.8/2))*1.2</f>
        <v>5.22</v>
      </c>
      <c r="AE65" s="415">
        <f>IF(AD65="","",AD65*'Tabella Carichi Unitari'!$G$8)</f>
        <v>27.143999999999998</v>
      </c>
      <c r="AF65" s="415">
        <f>IF(AD65="","",AD65*'Tabella Carichi Unitari'!$H$8)</f>
        <v>15.66</v>
      </c>
      <c r="AG65" s="415">
        <f>IF(AD65="","",AD65*'Tabella Carichi Unitari'!$C$8)</f>
        <v>20.88</v>
      </c>
      <c r="AH65" s="109">
        <f>IF(AD65="","",AD65*'Tabella Carichi Unitari'!$K$8)</f>
        <v>3.1319999999999997</v>
      </c>
      <c r="AI65" s="416">
        <v>5.22</v>
      </c>
      <c r="AJ65" s="415">
        <f>IF(AI65="","",AI65*'Tabella Carichi Unitari'!$G$7)</f>
        <v>26.164101599999995</v>
      </c>
      <c r="AK65" s="415">
        <f>IF(AI65="","",AI65*'Tabella Carichi Unitari'!$H$7)</f>
        <v>25.055999999999997</v>
      </c>
      <c r="AL65" s="415">
        <f>IF(AI65="","",AI65*'Tabella Carichi Unitari'!$C$7)</f>
        <v>20.126231999999995</v>
      </c>
      <c r="AM65" s="109">
        <f>IF(AI65="","",AI65*'Tabella Carichi Unitari'!$K$7)</f>
        <v>9.395999999999999</v>
      </c>
      <c r="AN65" s="416">
        <v>5.22</v>
      </c>
      <c r="AO65" s="415">
        <f>IF(AN65="","",AN65*'Tabella Carichi Unitari'!$G$7)</f>
        <v>26.164101599999995</v>
      </c>
      <c r="AP65" s="415">
        <f>IF(AN65="","",AN65*'Tabella Carichi Unitari'!$H$7)</f>
        <v>25.055999999999997</v>
      </c>
      <c r="AQ65" s="415">
        <f>IF(AN65="","",AN65*'Tabella Carichi Unitari'!$C$7)</f>
        <v>20.126231999999995</v>
      </c>
      <c r="AR65" s="109">
        <f>IF(AN65="","",AN65*'Tabella Carichi Unitari'!$K$7)</f>
        <v>9.395999999999999</v>
      </c>
      <c r="AS65" s="416">
        <v>5.22</v>
      </c>
      <c r="AT65" s="415">
        <f>IF(AS65="","",AS65*'Tabella Carichi Unitari'!$G$7)</f>
        <v>26.164101599999995</v>
      </c>
      <c r="AU65" s="415">
        <f>IF(AS65="","",AS65*'Tabella Carichi Unitari'!$H$7)</f>
        <v>25.055999999999997</v>
      </c>
      <c r="AV65" s="415">
        <f>IF(AS65="","",AS65*'Tabella Carichi Unitari'!$C$7)</f>
        <v>20.126231999999995</v>
      </c>
      <c r="AW65" s="109">
        <f>IF(AS65="","",AS65*'Tabella Carichi Unitari'!$K$7)</f>
        <v>9.395999999999999</v>
      </c>
      <c r="AX65" s="416">
        <v>5.22</v>
      </c>
      <c r="AY65" s="415">
        <f>IF(AX65="","",AX65*'Tabella Carichi Unitari'!$G$7)</f>
        <v>26.164101599999995</v>
      </c>
      <c r="AZ65" s="415">
        <f>IF(AX65="","",AX65*'Tabella Carichi Unitari'!$H$7)</f>
        <v>25.055999999999997</v>
      </c>
      <c r="BA65" s="415">
        <f>IF(AX65="","",AX65*'Tabella Carichi Unitari'!$C$7)</f>
        <v>20.126231999999995</v>
      </c>
      <c r="BB65" s="109">
        <f>IF(AX65="","",AX65*'Tabella Carichi Unitari'!$K$7)</f>
        <v>9.395999999999999</v>
      </c>
    </row>
    <row r="66" spans="1:54" x14ac:dyDescent="0.25">
      <c r="A66" s="136" t="s">
        <v>314</v>
      </c>
      <c r="B66" s="416">
        <f>(0.5+0.15)*2</f>
        <v>1.3</v>
      </c>
      <c r="C66" s="415">
        <f>IF(B66="","",B66*'Tabella Carichi Unitari'!$G$11)</f>
        <v>6.5910000000000002</v>
      </c>
      <c r="D66" s="415">
        <f>IF(B66="","",B66*'Tabella Carichi Unitari'!$H$11)</f>
        <v>0.97500000000000009</v>
      </c>
      <c r="E66" s="415">
        <f>IF(B66="","",B66*'Tabella Carichi Unitari'!$C$11)</f>
        <v>5.07</v>
      </c>
      <c r="F66" s="109">
        <f>IF(B66="","",B66*'Tabella Carichi Unitari'!$K$11)</f>
        <v>0</v>
      </c>
      <c r="G66" s="416">
        <f>B66</f>
        <v>1.3</v>
      </c>
      <c r="H66" s="415">
        <f>IF(G66="","",G66*'Tabella Carichi Unitari'!$G$10)</f>
        <v>6.9458999999999991</v>
      </c>
      <c r="I66" s="415">
        <f>IF(G66="","",G66*'Tabella Carichi Unitari'!$H$10)</f>
        <v>7.8000000000000007</v>
      </c>
      <c r="J66" s="415">
        <f>IF(G66="","",G66*'Tabella Carichi Unitari'!$C$10)</f>
        <v>5.3429999999999991</v>
      </c>
      <c r="K66" s="109">
        <f>IF(G66="","",G66*'Tabella Carichi Unitari'!$K$10)</f>
        <v>3.12</v>
      </c>
      <c r="L66" s="416">
        <f>B66</f>
        <v>1.3</v>
      </c>
      <c r="M66" s="415">
        <f>IF(L66="","",L66*'Tabella Carichi Unitari'!$G$10)</f>
        <v>6.9458999999999991</v>
      </c>
      <c r="N66" s="415">
        <f>IF(L66="","",L66*'Tabella Carichi Unitari'!$H$10)</f>
        <v>7.8000000000000007</v>
      </c>
      <c r="O66" s="415">
        <f>IF(L66="","",L66*'Tabella Carichi Unitari'!$C$10)</f>
        <v>5.3429999999999991</v>
      </c>
      <c r="P66" s="109">
        <f>IF(L66="","",L66*'Tabella Carichi Unitari'!$K$10)</f>
        <v>3.12</v>
      </c>
      <c r="Q66" s="416"/>
      <c r="R66" s="415" t="str">
        <f>IF(Q66="","",Q66*'Tabella Carichi Unitari'!$G$10)</f>
        <v/>
      </c>
      <c r="S66" s="415" t="str">
        <f>IF(Q66="","",Q66*'Tabella Carichi Unitari'!$H$10)</f>
        <v/>
      </c>
      <c r="T66" s="415" t="str">
        <f>IF(Q66="","",Q66*'Tabella Carichi Unitari'!$C$10)</f>
        <v/>
      </c>
      <c r="U66" s="109" t="str">
        <f>IF(Q66="","",Q66*'Tabella Carichi Unitari'!$K$10)</f>
        <v/>
      </c>
      <c r="V66" s="416"/>
      <c r="W66" s="415" t="str">
        <f>IF(V66="","",V66*'Tabella Carichi Unitari'!$G$10)</f>
        <v/>
      </c>
      <c r="X66" s="415" t="str">
        <f>IF(V66="","",V66*'Tabella Carichi Unitari'!$H$10)</f>
        <v/>
      </c>
      <c r="Y66" s="415" t="str">
        <f>IF(V66="","",V66*'Tabella Carichi Unitari'!$C$10)</f>
        <v/>
      </c>
      <c r="Z66" s="109" t="str">
        <f>IF(V66="","",V66*'Tabella Carichi Unitari'!$K$10)</f>
        <v/>
      </c>
      <c r="AB66" s="416"/>
      <c r="AC66" s="136" t="s">
        <v>314</v>
      </c>
      <c r="AD66" s="416"/>
      <c r="AE66" s="415" t="str">
        <f>IF(AD66="","",AD66*'Tabella Carichi Unitari'!$G$11)</f>
        <v/>
      </c>
      <c r="AF66" s="415" t="str">
        <f>IF(AD66="","",AD66*'Tabella Carichi Unitari'!$H$11)</f>
        <v/>
      </c>
      <c r="AG66" s="415" t="str">
        <f>IF(AD66="","",AD66*'Tabella Carichi Unitari'!$C$11)</f>
        <v/>
      </c>
      <c r="AH66" s="109" t="str">
        <f>IF(AD66="","",AD66*'Tabella Carichi Unitari'!$K$11)</f>
        <v/>
      </c>
      <c r="AI66" s="416"/>
      <c r="AJ66" s="415" t="str">
        <f>IF(AI66="","",AI66*'Tabella Carichi Unitari'!$G$10)</f>
        <v/>
      </c>
      <c r="AK66" s="415" t="str">
        <f>IF(AI66="","",AI66*'Tabella Carichi Unitari'!$H$10)</f>
        <v/>
      </c>
      <c r="AL66" s="415" t="str">
        <f>IF(AI66="","",AI66*'Tabella Carichi Unitari'!$C$10)</f>
        <v/>
      </c>
      <c r="AM66" s="109" t="str">
        <f>IF(AI66="","",AI66*'Tabella Carichi Unitari'!$K$10)</f>
        <v/>
      </c>
      <c r="AN66" s="416"/>
      <c r="AO66" s="415" t="str">
        <f>IF(AN66="","",AN66*'Tabella Carichi Unitari'!$G$10)</f>
        <v/>
      </c>
      <c r="AP66" s="415" t="str">
        <f>IF(AN66="","",AN66*'Tabella Carichi Unitari'!$H$10)</f>
        <v/>
      </c>
      <c r="AQ66" s="415" t="str">
        <f>IF(AN66="","",AN66*'Tabella Carichi Unitari'!$C$10)</f>
        <v/>
      </c>
      <c r="AR66" s="109" t="str">
        <f>IF(AN66="","",AN66*'Tabella Carichi Unitari'!$K$10)</f>
        <v/>
      </c>
      <c r="AS66" s="416"/>
      <c r="AT66" s="415" t="str">
        <f>IF(AS66="","",AS66*'Tabella Carichi Unitari'!$G$10)</f>
        <v/>
      </c>
      <c r="AU66" s="415" t="str">
        <f>IF(AS66="","",AS66*'Tabella Carichi Unitari'!$H$10)</f>
        <v/>
      </c>
      <c r="AV66" s="415" t="str">
        <f>IF(AS66="","",AS66*'Tabella Carichi Unitari'!$C$10)</f>
        <v/>
      </c>
      <c r="AW66" s="109" t="str">
        <f>IF(AS66="","",AS66*'Tabella Carichi Unitari'!$K$10)</f>
        <v/>
      </c>
      <c r="AX66" s="416"/>
      <c r="AY66" s="415" t="str">
        <f>IF(AX66="","",AX66*'Tabella Carichi Unitari'!$G$10)</f>
        <v/>
      </c>
      <c r="AZ66" s="415" t="str">
        <f>IF(AX66="","",AX66*'Tabella Carichi Unitari'!$H$10)</f>
        <v/>
      </c>
      <c r="BA66" s="415" t="str">
        <f>IF(AX66="","",AX66*'Tabella Carichi Unitari'!$C$10)</f>
        <v/>
      </c>
      <c r="BB66" s="109" t="str">
        <f>IF(AX66="","",AX66*'Tabella Carichi Unitari'!$K$10)</f>
        <v/>
      </c>
    </row>
    <row r="67" spans="1:54" x14ac:dyDescent="0.25">
      <c r="A67" s="136" t="s">
        <v>315</v>
      </c>
      <c r="B67" s="416"/>
      <c r="C67" s="415" t="str">
        <f>IF(B67="","",B67*'Tabella Carichi Unitari'!$G$12)</f>
        <v/>
      </c>
      <c r="D67" s="415" t="str">
        <f>IF(B67="","",B67*'Tabella Carichi Unitari'!$H$12)</f>
        <v/>
      </c>
      <c r="E67" s="415" t="str">
        <f>IF(B67="","",B67*'Tabella Carichi Unitari'!$C$12)</f>
        <v/>
      </c>
      <c r="F67" s="109" t="str">
        <f>IF(B67="","",B67*'Tabella Carichi Unitari'!$K$12)</f>
        <v/>
      </c>
      <c r="G67" s="416"/>
      <c r="H67" s="415" t="str">
        <f>IF(G67="","",G67*'Tabella Carichi Unitari'!$G$12)</f>
        <v/>
      </c>
      <c r="I67" s="415" t="str">
        <f>IF(G67="","",G67*'Tabella Carichi Unitari'!$H$12)</f>
        <v/>
      </c>
      <c r="J67" s="415" t="str">
        <f>IF(G67="","",G67*'Tabella Carichi Unitari'!$C$12)</f>
        <v/>
      </c>
      <c r="K67" s="109" t="str">
        <f>IF(G67="","",G67*'Tabella Carichi Unitari'!$K$12)</f>
        <v/>
      </c>
      <c r="L67" s="416"/>
      <c r="M67" s="415" t="str">
        <f>IF(L67="","",L67*'Tabella Carichi Unitari'!$G$12)</f>
        <v/>
      </c>
      <c r="N67" s="415" t="str">
        <f>IF(L67="","",L67*'Tabella Carichi Unitari'!$H$12)</f>
        <v/>
      </c>
      <c r="O67" s="415" t="str">
        <f>IF(L67="","",L67*'Tabella Carichi Unitari'!$C$12)</f>
        <v/>
      </c>
      <c r="P67" s="109" t="str">
        <f>IF(L67="","",L67*'Tabella Carichi Unitari'!$K$12)</f>
        <v/>
      </c>
      <c r="Q67" s="416"/>
      <c r="R67" s="415" t="str">
        <f>IF(Q67="","",Q67*'Tabella Carichi Unitari'!$G$12)</f>
        <v/>
      </c>
      <c r="S67" s="415" t="str">
        <f>IF(Q67="","",Q67*'Tabella Carichi Unitari'!$H$12)</f>
        <v/>
      </c>
      <c r="T67" s="415" t="str">
        <f>IF(Q67="","",Q67*'Tabella Carichi Unitari'!$C$12)</f>
        <v/>
      </c>
      <c r="U67" s="109" t="str">
        <f>IF(Q67="","",Q67*'Tabella Carichi Unitari'!$K$12)</f>
        <v/>
      </c>
      <c r="V67" s="416"/>
      <c r="W67" s="415" t="str">
        <f>IF(V67="","",V67*'Tabella Carichi Unitari'!$G$12)</f>
        <v/>
      </c>
      <c r="X67" s="415" t="str">
        <f>IF(V67="","",V67*'Tabella Carichi Unitari'!$H$12)</f>
        <v/>
      </c>
      <c r="Y67" s="415" t="str">
        <f>IF(V67="","",V67*'Tabella Carichi Unitari'!$C$12)</f>
        <v/>
      </c>
      <c r="Z67" s="109" t="str">
        <f>IF(V67="","",V67*'Tabella Carichi Unitari'!$K$12)</f>
        <v/>
      </c>
      <c r="AB67" s="416"/>
      <c r="AC67" s="136" t="s">
        <v>315</v>
      </c>
      <c r="AD67" s="416"/>
      <c r="AE67" s="415" t="str">
        <f>IF(AD67="","",AD67*'Tabella Carichi Unitari'!$G$12)</f>
        <v/>
      </c>
      <c r="AF67" s="415" t="str">
        <f>IF(AD67="","",AD67*'Tabella Carichi Unitari'!$H$12)</f>
        <v/>
      </c>
      <c r="AG67" s="415" t="str">
        <f>IF(AD67="","",AD67*'Tabella Carichi Unitari'!$C$12)</f>
        <v/>
      </c>
      <c r="AH67" s="109" t="str">
        <f>IF(AD67="","",AD67*'Tabella Carichi Unitari'!$K$12)</f>
        <v/>
      </c>
      <c r="AI67" s="416"/>
      <c r="AJ67" s="415" t="str">
        <f>IF(AI67="","",AI67*'Tabella Carichi Unitari'!$G$12)</f>
        <v/>
      </c>
      <c r="AK67" s="415" t="str">
        <f>IF(AI67="","",AI67*'Tabella Carichi Unitari'!$H$12)</f>
        <v/>
      </c>
      <c r="AL67" s="415" t="str">
        <f>IF(AI67="","",AI67*'Tabella Carichi Unitari'!$C$12)</f>
        <v/>
      </c>
      <c r="AM67" s="109" t="str">
        <f>IF(AI67="","",AI67*'Tabella Carichi Unitari'!$K$12)</f>
        <v/>
      </c>
      <c r="AN67" s="416"/>
      <c r="AO67" s="415" t="str">
        <f>IF(AN67="","",AN67*'Tabella Carichi Unitari'!$G$12)</f>
        <v/>
      </c>
      <c r="AP67" s="415" t="str">
        <f>IF(AN67="","",AN67*'Tabella Carichi Unitari'!$H$12)</f>
        <v/>
      </c>
      <c r="AQ67" s="415" t="str">
        <f>IF(AN67="","",AN67*'Tabella Carichi Unitari'!$C$12)</f>
        <v/>
      </c>
      <c r="AR67" s="109" t="str">
        <f>IF(AN67="","",AN67*'Tabella Carichi Unitari'!$K$12)</f>
        <v/>
      </c>
      <c r="AS67" s="416"/>
      <c r="AT67" s="415" t="str">
        <f>IF(AS67="","",AS67*'Tabella Carichi Unitari'!$G$12)</f>
        <v/>
      </c>
      <c r="AU67" s="415" t="str">
        <f>IF(AS67="","",AS67*'Tabella Carichi Unitari'!$H$12)</f>
        <v/>
      </c>
      <c r="AV67" s="415" t="str">
        <f>IF(AS67="","",AS67*'Tabella Carichi Unitari'!$C$12)</f>
        <v/>
      </c>
      <c r="AW67" s="109" t="str">
        <f>IF(AS67="","",AS67*'Tabella Carichi Unitari'!$K$12)</f>
        <v/>
      </c>
      <c r="AX67" s="416"/>
      <c r="AY67" s="415" t="str">
        <f>IF(AX67="","",AX67*'Tabella Carichi Unitari'!$G$12)</f>
        <v/>
      </c>
      <c r="AZ67" s="415" t="str">
        <f>IF(AX67="","",AX67*'Tabella Carichi Unitari'!$H$12)</f>
        <v/>
      </c>
      <c r="BA67" s="415" t="str">
        <f>IF(AX67="","",AX67*'Tabella Carichi Unitari'!$C$12)</f>
        <v/>
      </c>
      <c r="BB67" s="109" t="str">
        <f>IF(AX67="","",AX67*'Tabella Carichi Unitari'!$K$12)</f>
        <v/>
      </c>
    </row>
    <row r="68" spans="1:54" x14ac:dyDescent="0.25">
      <c r="A68" s="136" t="s">
        <v>391</v>
      </c>
      <c r="B68" s="416">
        <v>1</v>
      </c>
      <c r="C68" s="415">
        <f>IF(B68="","",B68*'Tabella Carichi Unitari'!$G$15)</f>
        <v>3.8415000000000004</v>
      </c>
      <c r="D68" s="415">
        <f>IF(B68="","",B68*'Tabella Carichi Unitari'!$H$15)</f>
        <v>0</v>
      </c>
      <c r="E68" s="415">
        <f>IF(B68="","",B68*'Tabella Carichi Unitari'!$C$15)</f>
        <v>2.9550000000000001</v>
      </c>
      <c r="F68" s="109">
        <f>IF(B68="","",B68*'Tabella Carichi Unitari'!$K$15)</f>
        <v>0</v>
      </c>
      <c r="G68" s="416">
        <v>1</v>
      </c>
      <c r="H68" s="415">
        <f>IF(G68="","",G68*'Tabella Carichi Unitari'!$G$14)</f>
        <v>4.8165000000000004</v>
      </c>
      <c r="I68" s="415">
        <f>IF(G68="","",G68*'Tabella Carichi Unitari'!$H$14)</f>
        <v>0</v>
      </c>
      <c r="J68" s="415">
        <f>IF(G68="","",G68*'Tabella Carichi Unitari'!$C$14)</f>
        <v>3.7050000000000001</v>
      </c>
      <c r="K68" s="109">
        <f>IF(G68="","",G68*'Tabella Carichi Unitari'!$K$14)</f>
        <v>0</v>
      </c>
      <c r="L68" s="416">
        <v>1</v>
      </c>
      <c r="M68" s="415">
        <f>IF(L68="","",L68*'Tabella Carichi Unitari'!$G$13)</f>
        <v>5.7915000000000001</v>
      </c>
      <c r="N68" s="415">
        <f>IF(L68="","",L68*'Tabella Carichi Unitari'!$H$13)</f>
        <v>0</v>
      </c>
      <c r="O68" s="415">
        <f>IF(L68="","",L68*'Tabella Carichi Unitari'!$C$13)</f>
        <v>4.4550000000000001</v>
      </c>
      <c r="P68" s="109">
        <f>IF(L68="","",L68*'Tabella Carichi Unitari'!$K$13)</f>
        <v>0</v>
      </c>
      <c r="Q68" s="416">
        <v>1</v>
      </c>
      <c r="R68" s="415">
        <f>IF(Q68="","",Q68*'Tabella Carichi Unitari'!$G$13)</f>
        <v>5.7915000000000001</v>
      </c>
      <c r="S68" s="415">
        <f>IF(Q68="","",Q68*'Tabella Carichi Unitari'!$H$13)</f>
        <v>0</v>
      </c>
      <c r="T68" s="415">
        <f>IF(Q68="","",Q68*'Tabella Carichi Unitari'!$C$13)</f>
        <v>4.4550000000000001</v>
      </c>
      <c r="U68" s="109">
        <f>IF(Q68="","",Q68*'Tabella Carichi Unitari'!$K$13)</f>
        <v>0</v>
      </c>
      <c r="V68" s="416">
        <v>1</v>
      </c>
      <c r="W68" s="415">
        <f>IF(V68="","",V68*'Tabella Carichi Unitari'!$G$13)</f>
        <v>5.7915000000000001</v>
      </c>
      <c r="X68" s="415">
        <f>IF(V68="","",V68*'Tabella Carichi Unitari'!$H$13)</f>
        <v>0</v>
      </c>
      <c r="Y68" s="415">
        <f>IF(V68="","",V68*'Tabella Carichi Unitari'!$C$13)</f>
        <v>4.4550000000000001</v>
      </c>
      <c r="Z68" s="109">
        <f>IF(V68="","",V68*'Tabella Carichi Unitari'!$K$13)</f>
        <v>0</v>
      </c>
      <c r="AB68" s="416"/>
      <c r="AC68" s="136" t="s">
        <v>391</v>
      </c>
      <c r="AD68" s="416">
        <v>1</v>
      </c>
      <c r="AE68" s="415">
        <f>IF(AD68="","",AD68*'Tabella Carichi Unitari'!$G$15)</f>
        <v>3.8415000000000004</v>
      </c>
      <c r="AF68" s="415">
        <f>IF(AD68="","",AD68*'Tabella Carichi Unitari'!$H$15)</f>
        <v>0</v>
      </c>
      <c r="AG68" s="415">
        <f>IF(AD68="","",AD68*'Tabella Carichi Unitari'!$C$15)</f>
        <v>2.9550000000000001</v>
      </c>
      <c r="AH68" s="109">
        <f>IF(AD68="","",AD68*'Tabella Carichi Unitari'!$K$15)</f>
        <v>0</v>
      </c>
      <c r="AI68" s="416">
        <v>1</v>
      </c>
      <c r="AJ68" s="415">
        <f>IF(AI68="","",AI68*'Tabella Carichi Unitari'!$G$14)</f>
        <v>4.8165000000000004</v>
      </c>
      <c r="AK68" s="415">
        <f>IF(AI68="","",AI68*'Tabella Carichi Unitari'!$H$14)</f>
        <v>0</v>
      </c>
      <c r="AL68" s="415">
        <f>IF(AI68="","",AI68*'Tabella Carichi Unitari'!$C$14)</f>
        <v>3.7050000000000001</v>
      </c>
      <c r="AM68" s="109">
        <f>IF(AI68="","",AI68*'Tabella Carichi Unitari'!$K$14)</f>
        <v>0</v>
      </c>
      <c r="AN68" s="416">
        <v>1</v>
      </c>
      <c r="AO68" s="415">
        <f>IF(AN68="","",AN68*'Tabella Carichi Unitari'!$G$13)</f>
        <v>5.7915000000000001</v>
      </c>
      <c r="AP68" s="415">
        <f>IF(AN68="","",AN68*'Tabella Carichi Unitari'!$H$13)</f>
        <v>0</v>
      </c>
      <c r="AQ68" s="415">
        <f>IF(AN68="","",AN68*'Tabella Carichi Unitari'!$C$13)</f>
        <v>4.4550000000000001</v>
      </c>
      <c r="AR68" s="109">
        <f>IF(AN68="","",AN68*'Tabella Carichi Unitari'!$K$13)</f>
        <v>0</v>
      </c>
      <c r="AS68" s="416">
        <v>1</v>
      </c>
      <c r="AT68" s="415">
        <f>IF(AS68="","",AS68*'Tabella Carichi Unitari'!$G$13)</f>
        <v>5.7915000000000001</v>
      </c>
      <c r="AU68" s="415">
        <f>IF(AS68="","",AS68*'Tabella Carichi Unitari'!$H$13)</f>
        <v>0</v>
      </c>
      <c r="AV68" s="415">
        <f>IF(AS68="","",AS68*'Tabella Carichi Unitari'!$C$13)</f>
        <v>4.4550000000000001</v>
      </c>
      <c r="AW68" s="109">
        <f>IF(AS68="","",AS68*'Tabella Carichi Unitari'!$K$13)</f>
        <v>0</v>
      </c>
      <c r="AX68" s="416">
        <v>1</v>
      </c>
      <c r="AY68" s="415">
        <f>IF(AX68="","",AX68*'Tabella Carichi Unitari'!$G$13)</f>
        <v>5.7915000000000001</v>
      </c>
      <c r="AZ68" s="415">
        <f>IF(AX68="","",AX68*'Tabella Carichi Unitari'!$H$13)</f>
        <v>0</v>
      </c>
      <c r="BA68" s="415">
        <f>IF(AX68="","",AX68*'Tabella Carichi Unitari'!$C$13)</f>
        <v>4.4550000000000001</v>
      </c>
      <c r="BB68" s="109">
        <f>IF(AX68="","",AX68*'Tabella Carichi Unitari'!$K$13)</f>
        <v>0</v>
      </c>
    </row>
    <row r="69" spans="1:54" x14ac:dyDescent="0.25">
      <c r="A69" s="136" t="s">
        <v>392</v>
      </c>
      <c r="B69" s="416"/>
      <c r="C69" s="415" t="str">
        <f>IF(B69="","",B69*'Tabella Carichi Unitari'!$G$16)</f>
        <v/>
      </c>
      <c r="D69" s="415" t="str">
        <f>IF(B69="","",B69*'Tabella Carichi Unitari'!$H$16)</f>
        <v/>
      </c>
      <c r="E69" s="415" t="str">
        <f>IF(B69="","",B69*'Tabella Carichi Unitari'!$C$16)</f>
        <v/>
      </c>
      <c r="F69" s="109" t="str">
        <f>IF(B69="","",B69*'Tabella Carichi Unitari'!$K$16)</f>
        <v/>
      </c>
      <c r="G69" s="416"/>
      <c r="H69" s="415" t="str">
        <f>IF(G69="","",G69*'Tabella Carichi Unitari'!$G$16)</f>
        <v/>
      </c>
      <c r="I69" s="415" t="str">
        <f>IF(G69="","",G69*'Tabella Carichi Unitari'!$H$16)</f>
        <v/>
      </c>
      <c r="J69" s="415" t="str">
        <f>IF(G69="","",G69*'Tabella Carichi Unitari'!$C$16)</f>
        <v/>
      </c>
      <c r="K69" s="109" t="str">
        <f>IF(G69="","",G69*'Tabella Carichi Unitari'!$K$16)</f>
        <v/>
      </c>
      <c r="L69" s="416"/>
      <c r="M69" s="415" t="str">
        <f>IF(L69="","",L69*'Tabella Carichi Unitari'!$G$16)</f>
        <v/>
      </c>
      <c r="N69" s="415" t="str">
        <f>IF(L69="","",L69*'Tabella Carichi Unitari'!$H$16)</f>
        <v/>
      </c>
      <c r="O69" s="415" t="str">
        <f>IF(L69="","",L69*'Tabella Carichi Unitari'!$C$16)</f>
        <v/>
      </c>
      <c r="P69" s="109" t="str">
        <f>IF(L69="","",L69*'Tabella Carichi Unitari'!$K$16)</f>
        <v/>
      </c>
      <c r="Q69" s="416"/>
      <c r="R69" s="415" t="str">
        <f>IF(Q69="","",Q69*'Tabella Carichi Unitari'!$G$16)</f>
        <v/>
      </c>
      <c r="S69" s="415" t="str">
        <f>IF(Q69="","",Q69*'Tabella Carichi Unitari'!$H$16)</f>
        <v/>
      </c>
      <c r="T69" s="415" t="str">
        <f>IF(Q69="","",Q69*'Tabella Carichi Unitari'!$C$16)</f>
        <v/>
      </c>
      <c r="U69" s="109" t="str">
        <f>IF(Q69="","",Q69*'Tabella Carichi Unitari'!$K$16)</f>
        <v/>
      </c>
      <c r="V69" s="416"/>
      <c r="W69" s="415" t="str">
        <f>IF(V69="","",V69*'Tabella Carichi Unitari'!$G$16)</f>
        <v/>
      </c>
      <c r="X69" s="415" t="str">
        <f>IF(V69="","",V69*'Tabella Carichi Unitari'!$H$16)</f>
        <v/>
      </c>
      <c r="Y69" s="415" t="str">
        <f>IF(V69="","",V69*'Tabella Carichi Unitari'!$C$16)</f>
        <v/>
      </c>
      <c r="Z69" s="109" t="str">
        <f>IF(V69="","",V69*'Tabella Carichi Unitari'!$K$16)</f>
        <v/>
      </c>
      <c r="AB69" s="416"/>
      <c r="AC69" s="136" t="s">
        <v>392</v>
      </c>
      <c r="AD69" s="416"/>
      <c r="AE69" s="415" t="str">
        <f>IF(AD69="","",AD69*'Tabella Carichi Unitari'!$G$16)</f>
        <v/>
      </c>
      <c r="AF69" s="415" t="str">
        <f>IF(AD69="","",AD69*'Tabella Carichi Unitari'!$H$16)</f>
        <v/>
      </c>
      <c r="AG69" s="415" t="str">
        <f>IF(AD69="","",AD69*'Tabella Carichi Unitari'!$C$16)</f>
        <v/>
      </c>
      <c r="AH69" s="109" t="str">
        <f>IF(AD69="","",AD69*'Tabella Carichi Unitari'!$K$16)</f>
        <v/>
      </c>
      <c r="AI69" s="416"/>
      <c r="AJ69" s="415" t="str">
        <f>IF(AI69="","",AI69*'Tabella Carichi Unitari'!$G$16)</f>
        <v/>
      </c>
      <c r="AK69" s="415" t="str">
        <f>IF(AI69="","",AI69*'Tabella Carichi Unitari'!$H$16)</f>
        <v/>
      </c>
      <c r="AL69" s="415" t="str">
        <f>IF(AI69="","",AI69*'Tabella Carichi Unitari'!$C$16)</f>
        <v/>
      </c>
      <c r="AM69" s="109" t="str">
        <f>IF(AI69="","",AI69*'Tabella Carichi Unitari'!$K$16)</f>
        <v/>
      </c>
      <c r="AN69" s="416"/>
      <c r="AO69" s="415" t="str">
        <f>IF(AN69="","",AN69*'Tabella Carichi Unitari'!$G$16)</f>
        <v/>
      </c>
      <c r="AP69" s="415" t="str">
        <f>IF(AN69="","",AN69*'Tabella Carichi Unitari'!$H$16)</f>
        <v/>
      </c>
      <c r="AQ69" s="415" t="str">
        <f>IF(AN69="","",AN69*'Tabella Carichi Unitari'!$C$16)</f>
        <v/>
      </c>
      <c r="AR69" s="109" t="str">
        <f>IF(AN69="","",AN69*'Tabella Carichi Unitari'!$K$16)</f>
        <v/>
      </c>
      <c r="AS69" s="416"/>
      <c r="AT69" s="415" t="str">
        <f>IF(AS69="","",AS69*'Tabella Carichi Unitari'!$G$16)</f>
        <v/>
      </c>
      <c r="AU69" s="415" t="str">
        <f>IF(AS69="","",AS69*'Tabella Carichi Unitari'!$H$16)</f>
        <v/>
      </c>
      <c r="AV69" s="415" t="str">
        <f>IF(AS69="","",AS69*'Tabella Carichi Unitari'!$C$16)</f>
        <v/>
      </c>
      <c r="AW69" s="109" t="str">
        <f>IF(AS69="","",AS69*'Tabella Carichi Unitari'!$K$16)</f>
        <v/>
      </c>
      <c r="AX69" s="416"/>
      <c r="AY69" s="415" t="str">
        <f>IF(AX69="","",AX69*'Tabella Carichi Unitari'!$G$16)</f>
        <v/>
      </c>
      <c r="AZ69" s="415" t="str">
        <f>IF(AX69="","",AX69*'Tabella Carichi Unitari'!$H$16)</f>
        <v/>
      </c>
      <c r="BA69" s="415" t="str">
        <f>IF(AX69="","",AX69*'Tabella Carichi Unitari'!$C$16)</f>
        <v/>
      </c>
      <c r="BB69" s="109" t="str">
        <f>IF(AX69="","",AX69*'Tabella Carichi Unitari'!$K$16)</f>
        <v/>
      </c>
    </row>
    <row r="70" spans="1:54" x14ac:dyDescent="0.25">
      <c r="A70" s="136" t="s">
        <v>313</v>
      </c>
      <c r="B70" s="416"/>
      <c r="C70" s="168" t="str">
        <f>IF(B70="","",B70*'Tabella Carichi Unitari'!$G$17)</f>
        <v/>
      </c>
      <c r="D70" s="168" t="str">
        <f>IF(B70="","",B70*'Tabella Carichi Unitari'!$H$17)</f>
        <v/>
      </c>
      <c r="E70" s="168" t="str">
        <f>IF(B70="","",B70*'Tabella Carichi Unitari'!$C$17)</f>
        <v/>
      </c>
      <c r="F70" s="110" t="str">
        <f>IF(B70="","",B70*'Tabella Carichi Unitari'!$K$17)</f>
        <v/>
      </c>
      <c r="G70" s="416">
        <v>0.9</v>
      </c>
      <c r="H70" s="168">
        <f>IF(G70="","",G70*'Tabella Carichi Unitari'!$G$17)</f>
        <v>6.7860000000000014</v>
      </c>
      <c r="I70" s="168">
        <f>IF(G70="","",G70*'Tabella Carichi Unitari'!$H$17)</f>
        <v>0</v>
      </c>
      <c r="J70" s="168">
        <f>IF(G70="","",G70*'Tabella Carichi Unitari'!$C$17)</f>
        <v>5.2200000000000006</v>
      </c>
      <c r="K70" s="110">
        <f>IF(G70="","",G70*'Tabella Carichi Unitari'!$K$17)</f>
        <v>0</v>
      </c>
      <c r="L70" s="416">
        <v>0.9</v>
      </c>
      <c r="M70" s="168">
        <f>IF(L70="","",L70*'Tabella Carichi Unitari'!$G$17)</f>
        <v>6.7860000000000014</v>
      </c>
      <c r="N70" s="168">
        <f>IF(L70="","",L70*'Tabella Carichi Unitari'!$H$17)</f>
        <v>0</v>
      </c>
      <c r="O70" s="168">
        <f>IF(L70="","",L70*'Tabella Carichi Unitari'!$C$17)</f>
        <v>5.2200000000000006</v>
      </c>
      <c r="P70" s="110">
        <f>IF(L70="","",L70*'Tabella Carichi Unitari'!$K$17)</f>
        <v>0</v>
      </c>
      <c r="Q70" s="416">
        <v>0.9</v>
      </c>
      <c r="R70" s="168">
        <f>IF(Q70="","",Q70*'Tabella Carichi Unitari'!$G$17)</f>
        <v>6.7860000000000014</v>
      </c>
      <c r="S70" s="168">
        <f>IF(Q70="","",Q70*'Tabella Carichi Unitari'!$H$17)</f>
        <v>0</v>
      </c>
      <c r="T70" s="168">
        <f>IF(Q70="","",Q70*'Tabella Carichi Unitari'!$C$17)</f>
        <v>5.2200000000000006</v>
      </c>
      <c r="U70" s="110">
        <f>IF(Q70="","",Q70*'Tabella Carichi Unitari'!$K$17)</f>
        <v>0</v>
      </c>
      <c r="V70" s="416">
        <v>0.9</v>
      </c>
      <c r="W70" s="168">
        <f>IF(V70="","",V70*'Tabella Carichi Unitari'!$G$17)</f>
        <v>6.7860000000000014</v>
      </c>
      <c r="X70" s="168">
        <f>IF(V70="","",V70*'Tabella Carichi Unitari'!$H$17)</f>
        <v>0</v>
      </c>
      <c r="Y70" s="168">
        <f>IF(V70="","",V70*'Tabella Carichi Unitari'!$C$17)</f>
        <v>5.2200000000000006</v>
      </c>
      <c r="Z70" s="110">
        <f>IF(V70="","",V70*'Tabella Carichi Unitari'!$K$17)</f>
        <v>0</v>
      </c>
      <c r="AB70" s="416"/>
      <c r="AC70" s="136" t="s">
        <v>313</v>
      </c>
      <c r="AD70" s="416"/>
      <c r="AE70" s="168" t="str">
        <f>IF(AD70="","",AD70*'Tabella Carichi Unitari'!$G$17)</f>
        <v/>
      </c>
      <c r="AF70" s="168" t="str">
        <f>IF(AD70="","",AD70*'Tabella Carichi Unitari'!$H$17)</f>
        <v/>
      </c>
      <c r="AG70" s="168" t="str">
        <f>IF(AD70="","",AD70*'Tabella Carichi Unitari'!$C$17)</f>
        <v/>
      </c>
      <c r="AH70" s="110" t="str">
        <f>IF(AD70="","",AD70*'Tabella Carichi Unitari'!$K$17)</f>
        <v/>
      </c>
      <c r="AI70" s="416"/>
      <c r="AJ70" s="168" t="str">
        <f>IF(AI70="","",AI70*'Tabella Carichi Unitari'!$G$17)</f>
        <v/>
      </c>
      <c r="AK70" s="168" t="str">
        <f>IF(AI70="","",AI70*'Tabella Carichi Unitari'!$H$17)</f>
        <v/>
      </c>
      <c r="AL70" s="168" t="str">
        <f>IF(AI70="","",AI70*'Tabella Carichi Unitari'!$C$17)</f>
        <v/>
      </c>
      <c r="AM70" s="110" t="str">
        <f>IF(AI70="","",AI70*'Tabella Carichi Unitari'!$K$17)</f>
        <v/>
      </c>
      <c r="AN70" s="416"/>
      <c r="AO70" s="168" t="str">
        <f>IF(AN70="","",AN70*'Tabella Carichi Unitari'!$G$17)</f>
        <v/>
      </c>
      <c r="AP70" s="168" t="str">
        <f>IF(AN70="","",AN70*'Tabella Carichi Unitari'!$H$17)</f>
        <v/>
      </c>
      <c r="AQ70" s="168" t="str">
        <f>IF(AN70="","",AN70*'Tabella Carichi Unitari'!$C$17)</f>
        <v/>
      </c>
      <c r="AR70" s="110" t="str">
        <f>IF(AN70="","",AN70*'Tabella Carichi Unitari'!$K$17)</f>
        <v/>
      </c>
      <c r="AS70" s="416"/>
      <c r="AT70" s="168" t="str">
        <f>IF(AS70="","",AS70*'Tabella Carichi Unitari'!$G$17)</f>
        <v/>
      </c>
      <c r="AU70" s="168" t="str">
        <f>IF(AS70="","",AS70*'Tabella Carichi Unitari'!$H$17)</f>
        <v/>
      </c>
      <c r="AV70" s="168" t="str">
        <f>IF(AS70="","",AS70*'Tabella Carichi Unitari'!$C$17)</f>
        <v/>
      </c>
      <c r="AW70" s="110" t="str">
        <f>IF(AS70="","",AS70*'Tabella Carichi Unitari'!$K$17)</f>
        <v/>
      </c>
      <c r="AX70" s="416"/>
      <c r="AY70" s="168" t="str">
        <f>IF(AX70="","",AX70*'Tabella Carichi Unitari'!$G$17)</f>
        <v/>
      </c>
      <c r="AZ70" s="168" t="str">
        <f>IF(AX70="","",AX70*'Tabella Carichi Unitari'!$H$17)</f>
        <v/>
      </c>
      <c r="BA70" s="168" t="str">
        <f>IF(AX70="","",AX70*'Tabella Carichi Unitari'!$C$17)</f>
        <v/>
      </c>
      <c r="BB70" s="110" t="str">
        <f>IF(AX70="","",AX70*'Tabella Carichi Unitari'!$K$17)</f>
        <v/>
      </c>
    </row>
    <row r="71" spans="1:54" x14ac:dyDescent="0.25">
      <c r="A71" s="136"/>
      <c r="B71" s="416"/>
      <c r="C71" s="415">
        <f>SUM(C65:C70)</f>
        <v>10.432500000000001</v>
      </c>
      <c r="D71" s="415">
        <f t="shared" ref="D71:Z71" si="43">SUM(D65:D70)</f>
        <v>0.97500000000000009</v>
      </c>
      <c r="E71" s="415">
        <f t="shared" si="43"/>
        <v>8.0250000000000004</v>
      </c>
      <c r="F71" s="415">
        <f t="shared" si="43"/>
        <v>0</v>
      </c>
      <c r="G71" s="415"/>
      <c r="H71" s="415">
        <f t="shared" si="43"/>
        <v>18.548400000000001</v>
      </c>
      <c r="I71" s="415">
        <f t="shared" si="43"/>
        <v>7.8000000000000007</v>
      </c>
      <c r="J71" s="415">
        <f t="shared" si="43"/>
        <v>14.267999999999999</v>
      </c>
      <c r="K71" s="415">
        <f t="shared" si="43"/>
        <v>3.12</v>
      </c>
      <c r="L71" s="415"/>
      <c r="M71" s="415">
        <f t="shared" si="43"/>
        <v>19.523400000000002</v>
      </c>
      <c r="N71" s="415">
        <f t="shared" si="43"/>
        <v>7.8000000000000007</v>
      </c>
      <c r="O71" s="415">
        <f t="shared" si="43"/>
        <v>15.017999999999999</v>
      </c>
      <c r="P71" s="415">
        <f t="shared" si="43"/>
        <v>3.12</v>
      </c>
      <c r="Q71" s="415"/>
      <c r="R71" s="415">
        <f t="shared" si="43"/>
        <v>15.083640000000001</v>
      </c>
      <c r="S71" s="415">
        <f t="shared" si="43"/>
        <v>1.5</v>
      </c>
      <c r="T71" s="415">
        <f t="shared" si="43"/>
        <v>11.6028</v>
      </c>
      <c r="U71" s="415">
        <f t="shared" si="43"/>
        <v>0.3</v>
      </c>
      <c r="V71" s="415"/>
      <c r="W71" s="415">
        <f t="shared" si="43"/>
        <v>15.083640000000001</v>
      </c>
      <c r="X71" s="415">
        <f t="shared" si="43"/>
        <v>1.5</v>
      </c>
      <c r="Y71" s="415">
        <f t="shared" si="43"/>
        <v>11.6028</v>
      </c>
      <c r="Z71" s="415">
        <f t="shared" si="43"/>
        <v>0.3</v>
      </c>
      <c r="AB71" s="416"/>
      <c r="AC71" s="136"/>
      <c r="AD71" s="416"/>
      <c r="AE71" s="415">
        <f>SUM(AE65:AE70)</f>
        <v>30.985499999999998</v>
      </c>
      <c r="AF71" s="415">
        <f t="shared" ref="AF71:AH71" si="44">SUM(AF65:AF70)</f>
        <v>15.66</v>
      </c>
      <c r="AG71" s="415">
        <f t="shared" si="44"/>
        <v>23.835000000000001</v>
      </c>
      <c r="AH71" s="415">
        <f t="shared" si="44"/>
        <v>3.1319999999999997</v>
      </c>
      <c r="AI71" s="415"/>
      <c r="AJ71" s="415">
        <f t="shared" ref="AJ71:AM71" si="45">SUM(AJ65:AJ70)</f>
        <v>30.980601599999996</v>
      </c>
      <c r="AK71" s="415">
        <f t="shared" si="45"/>
        <v>25.055999999999997</v>
      </c>
      <c r="AL71" s="415">
        <f t="shared" si="45"/>
        <v>23.831231999999993</v>
      </c>
      <c r="AM71" s="415">
        <f t="shared" si="45"/>
        <v>9.395999999999999</v>
      </c>
      <c r="AN71" s="415"/>
      <c r="AO71" s="415">
        <f t="shared" ref="AO71:AR71" si="46">SUM(AO65:AO70)</f>
        <v>31.955601599999994</v>
      </c>
      <c r="AP71" s="415">
        <f t="shared" si="46"/>
        <v>25.055999999999997</v>
      </c>
      <c r="AQ71" s="415">
        <f t="shared" si="46"/>
        <v>24.581231999999993</v>
      </c>
      <c r="AR71" s="415">
        <f t="shared" si="46"/>
        <v>9.395999999999999</v>
      </c>
      <c r="AS71" s="415"/>
      <c r="AT71" s="415">
        <f t="shared" ref="AT71:AW71" si="47">SUM(AT65:AT70)</f>
        <v>31.955601599999994</v>
      </c>
      <c r="AU71" s="415">
        <f t="shared" si="47"/>
        <v>25.055999999999997</v>
      </c>
      <c r="AV71" s="415">
        <f t="shared" si="47"/>
        <v>24.581231999999993</v>
      </c>
      <c r="AW71" s="415">
        <f t="shared" si="47"/>
        <v>9.395999999999999</v>
      </c>
      <c r="AX71" s="415"/>
      <c r="AY71" s="415">
        <f t="shared" ref="AY71:BB71" si="48">SUM(AY65:AY70)</f>
        <v>31.955601599999994</v>
      </c>
      <c r="AZ71" s="415">
        <f t="shared" si="48"/>
        <v>25.055999999999997</v>
      </c>
      <c r="BA71" s="415">
        <f t="shared" si="48"/>
        <v>24.581231999999993</v>
      </c>
      <c r="BB71" s="415">
        <f t="shared" si="48"/>
        <v>9.395999999999999</v>
      </c>
    </row>
    <row r="72" spans="1:54" x14ac:dyDescent="0.25">
      <c r="B72" s="416"/>
      <c r="C72" s="612">
        <f>C71+D71</f>
        <v>11.407500000000001</v>
      </c>
      <c r="D72" s="612"/>
      <c r="E72" s="612">
        <f>E71+F71</f>
        <v>8.0250000000000004</v>
      </c>
      <c r="F72" s="612"/>
      <c r="G72" s="416"/>
      <c r="H72" s="612">
        <f>H71+I71</f>
        <v>26.348400000000002</v>
      </c>
      <c r="I72" s="612"/>
      <c r="J72" s="612">
        <f>J71+K71</f>
        <v>17.387999999999998</v>
      </c>
      <c r="K72" s="612"/>
      <c r="L72" s="416"/>
      <c r="M72" s="612">
        <f>M71+N71</f>
        <v>27.323400000000003</v>
      </c>
      <c r="N72" s="612"/>
      <c r="O72" s="612">
        <f>O71+P71</f>
        <v>18.137999999999998</v>
      </c>
      <c r="P72" s="612"/>
      <c r="Q72" s="416"/>
      <c r="R72" s="612">
        <f>R71+S71</f>
        <v>16.583640000000003</v>
      </c>
      <c r="S72" s="612"/>
      <c r="T72" s="612">
        <f>T71+U71</f>
        <v>11.902800000000001</v>
      </c>
      <c r="U72" s="612"/>
      <c r="V72" s="416"/>
      <c r="W72" s="612">
        <f>W71+X71</f>
        <v>16.583640000000003</v>
      </c>
      <c r="X72" s="612"/>
      <c r="Y72" s="612">
        <f>Y71+Z71</f>
        <v>11.902800000000001</v>
      </c>
      <c r="Z72" s="612"/>
      <c r="AB72" s="416"/>
      <c r="AC72"/>
      <c r="AD72" s="416"/>
      <c r="AE72" s="612">
        <f>AE71+AF71</f>
        <v>46.645499999999998</v>
      </c>
      <c r="AF72" s="612"/>
      <c r="AG72" s="612">
        <f>AG71+AH71</f>
        <v>26.966999999999999</v>
      </c>
      <c r="AH72" s="612"/>
      <c r="AI72" s="416"/>
      <c r="AJ72" s="612">
        <f>AJ71+AK71</f>
        <v>56.036601599999997</v>
      </c>
      <c r="AK72" s="612"/>
      <c r="AL72" s="612">
        <f>AL71+AM71</f>
        <v>33.227231999999994</v>
      </c>
      <c r="AM72" s="612"/>
      <c r="AN72" s="416"/>
      <c r="AO72" s="612">
        <f>AO71+AP71</f>
        <v>57.011601599999992</v>
      </c>
      <c r="AP72" s="612"/>
      <c r="AQ72" s="612">
        <f>AQ71+AR71</f>
        <v>33.977231999999994</v>
      </c>
      <c r="AR72" s="612"/>
      <c r="AS72" s="416"/>
      <c r="AT72" s="612">
        <f>AT71+AU71</f>
        <v>57.011601599999992</v>
      </c>
      <c r="AU72" s="612"/>
      <c r="AV72" s="612">
        <f>AV71+AW71</f>
        <v>33.977231999999994</v>
      </c>
      <c r="AW72" s="612"/>
      <c r="AX72" s="416"/>
      <c r="AY72" s="612">
        <f>AY71+AZ71</f>
        <v>57.011601599999992</v>
      </c>
      <c r="AZ72" s="612"/>
      <c r="BA72" s="612">
        <f>BA71+BB71</f>
        <v>33.977231999999994</v>
      </c>
      <c r="BB72" s="612"/>
    </row>
    <row r="73" spans="1:54" x14ac:dyDescent="0.25">
      <c r="B73" s="416"/>
      <c r="G73" s="416"/>
      <c r="L73" s="416"/>
      <c r="Q73" s="416"/>
      <c r="V73" s="416"/>
      <c r="AB73" s="416"/>
      <c r="AC73" s="416"/>
      <c r="AD73" s="416"/>
      <c r="AE73" s="416"/>
      <c r="AF73" s="416"/>
      <c r="AG73" s="416"/>
      <c r="AH73" s="416"/>
      <c r="AI73" s="416"/>
      <c r="AJ73" s="416"/>
      <c r="AK73" s="416"/>
      <c r="AL73" s="416"/>
      <c r="AM73" s="416"/>
      <c r="AN73" s="416"/>
      <c r="AO73" s="416"/>
      <c r="AP73" s="416"/>
      <c r="AQ73" s="416"/>
      <c r="AR73" s="416"/>
      <c r="AS73" s="416"/>
      <c r="AT73" s="416"/>
      <c r="AU73" s="416"/>
      <c r="AV73" s="416"/>
      <c r="AW73" s="416"/>
    </row>
    <row r="74" spans="1:54" x14ac:dyDescent="0.25">
      <c r="A74" s="403" t="s">
        <v>393</v>
      </c>
      <c r="B74" s="416"/>
      <c r="C74" t="s">
        <v>399</v>
      </c>
      <c r="G74" s="416"/>
      <c r="H74" t="s">
        <v>400</v>
      </c>
      <c r="L74" s="416"/>
      <c r="M74" t="s">
        <v>401</v>
      </c>
      <c r="Q74" s="416"/>
      <c r="R74" t="s">
        <v>232</v>
      </c>
      <c r="V74" s="416"/>
      <c r="W74" t="s">
        <v>402</v>
      </c>
      <c r="AB74" s="416"/>
      <c r="AC74" s="403" t="s">
        <v>393</v>
      </c>
      <c r="AD74" s="416"/>
      <c r="AE74" t="s">
        <v>399</v>
      </c>
      <c r="AF74"/>
      <c r="AG74"/>
      <c r="AH74"/>
      <c r="AI74" s="416"/>
      <c r="AJ74" t="s">
        <v>400</v>
      </c>
      <c r="AK74"/>
      <c r="AL74"/>
      <c r="AM74"/>
      <c r="AN74" s="416"/>
      <c r="AO74" t="s">
        <v>401</v>
      </c>
      <c r="AP74"/>
      <c r="AQ74"/>
      <c r="AR74"/>
      <c r="AS74" s="416"/>
      <c r="AT74" t="s">
        <v>232</v>
      </c>
      <c r="AU74"/>
      <c r="AV74"/>
      <c r="AW74"/>
      <c r="AX74" s="416"/>
      <c r="AY74" t="s">
        <v>402</v>
      </c>
    </row>
    <row r="75" spans="1:54" x14ac:dyDescent="0.25">
      <c r="A75" s="404" t="s">
        <v>323</v>
      </c>
      <c r="B75" s="416"/>
      <c r="G75" s="416"/>
      <c r="L75" s="416"/>
      <c r="Q75" s="416"/>
      <c r="V75" s="416"/>
      <c r="AB75" s="416"/>
      <c r="AC75" s="404" t="s">
        <v>436</v>
      </c>
      <c r="AD75" s="416"/>
      <c r="AE75"/>
      <c r="AF75"/>
      <c r="AG75"/>
      <c r="AH75"/>
      <c r="AI75" s="416"/>
      <c r="AJ75"/>
      <c r="AK75"/>
      <c r="AL75"/>
      <c r="AM75"/>
      <c r="AN75" s="416"/>
      <c r="AO75"/>
      <c r="AP75"/>
      <c r="AQ75"/>
      <c r="AR75"/>
      <c r="AS75" s="416"/>
      <c r="AT75"/>
      <c r="AU75"/>
      <c r="AV75"/>
      <c r="AW75"/>
      <c r="AX75" s="416"/>
    </row>
    <row r="76" spans="1:54" x14ac:dyDescent="0.25">
      <c r="A76" s="136"/>
      <c r="B76" s="416"/>
      <c r="C76" s="416" t="s">
        <v>386</v>
      </c>
      <c r="D76" s="416" t="s">
        <v>396</v>
      </c>
      <c r="E76" s="416" t="s">
        <v>288</v>
      </c>
      <c r="F76" s="411" t="s">
        <v>406</v>
      </c>
      <c r="G76" s="412"/>
      <c r="H76" s="416" t="s">
        <v>386</v>
      </c>
      <c r="I76" s="416" t="s">
        <v>396</v>
      </c>
      <c r="J76" s="416" t="s">
        <v>288</v>
      </c>
      <c r="K76" s="411" t="s">
        <v>407</v>
      </c>
      <c r="L76" s="412"/>
      <c r="M76" s="416" t="s">
        <v>386</v>
      </c>
      <c r="N76" s="416" t="s">
        <v>396</v>
      </c>
      <c r="O76" s="416" t="s">
        <v>288</v>
      </c>
      <c r="P76" s="411" t="s">
        <v>407</v>
      </c>
      <c r="Q76" s="306"/>
      <c r="R76" s="416" t="s">
        <v>386</v>
      </c>
      <c r="S76" s="416" t="s">
        <v>396</v>
      </c>
      <c r="T76" s="416" t="s">
        <v>288</v>
      </c>
      <c r="U76" s="411" t="s">
        <v>407</v>
      </c>
      <c r="V76" s="306"/>
      <c r="W76" s="416" t="s">
        <v>386</v>
      </c>
      <c r="X76" s="416" t="s">
        <v>396</v>
      </c>
      <c r="Y76" s="416" t="s">
        <v>288</v>
      </c>
      <c r="Z76" s="411" t="s">
        <v>407</v>
      </c>
      <c r="AB76" s="416"/>
      <c r="AC76" s="136"/>
      <c r="AD76" s="416"/>
      <c r="AE76" s="416" t="s">
        <v>386</v>
      </c>
      <c r="AF76" s="416" t="s">
        <v>396</v>
      </c>
      <c r="AG76" s="416" t="s">
        <v>288</v>
      </c>
      <c r="AH76" s="411" t="s">
        <v>406</v>
      </c>
      <c r="AI76" s="412"/>
      <c r="AJ76" s="416" t="s">
        <v>386</v>
      </c>
      <c r="AK76" s="416" t="s">
        <v>396</v>
      </c>
      <c r="AL76" s="416" t="s">
        <v>288</v>
      </c>
      <c r="AM76" s="411" t="s">
        <v>407</v>
      </c>
      <c r="AN76" s="412"/>
      <c r="AO76" s="416" t="s">
        <v>386</v>
      </c>
      <c r="AP76" s="416" t="s">
        <v>396</v>
      </c>
      <c r="AQ76" s="416" t="s">
        <v>288</v>
      </c>
      <c r="AR76" s="411" t="s">
        <v>407</v>
      </c>
      <c r="AS76" s="306"/>
      <c r="AT76" s="416" t="s">
        <v>386</v>
      </c>
      <c r="AU76" s="416" t="s">
        <v>396</v>
      </c>
      <c r="AV76" s="416" t="s">
        <v>288</v>
      </c>
      <c r="AW76" s="411" t="s">
        <v>407</v>
      </c>
      <c r="AX76" s="306"/>
      <c r="AY76" s="416" t="s">
        <v>386</v>
      </c>
      <c r="AZ76" s="416" t="s">
        <v>396</v>
      </c>
      <c r="BA76" s="416" t="s">
        <v>288</v>
      </c>
      <c r="BB76" s="411" t="s">
        <v>407</v>
      </c>
    </row>
    <row r="77" spans="1:54" x14ac:dyDescent="0.25">
      <c r="A77" s="136" t="s">
        <v>312</v>
      </c>
      <c r="B77" s="416"/>
      <c r="C77" s="415" t="str">
        <f>IF(B77="","",B77*'Tabella Carichi Unitari'!$G$8)</f>
        <v/>
      </c>
      <c r="D77" s="415" t="str">
        <f>IF(B77="","",B77*'Tabella Carichi Unitari'!$H$8)</f>
        <v/>
      </c>
      <c r="E77" s="415" t="str">
        <f>IF(B77="","",B77*'Tabella Carichi Unitari'!$C$8)</f>
        <v/>
      </c>
      <c r="F77" s="109" t="str">
        <f>IF(B77="","",B77*'Tabella Carichi Unitari'!$K$8)</f>
        <v/>
      </c>
      <c r="G77" s="416"/>
      <c r="H77" s="415" t="str">
        <f>IF(G77="","",G77*'Tabella Carichi Unitari'!$G$5)</f>
        <v/>
      </c>
      <c r="I77" s="415" t="str">
        <f>IF(G77="","",G77*'Tabella Carichi Unitari'!$H$5)</f>
        <v/>
      </c>
      <c r="J77" s="415" t="str">
        <f>IF(G77="","",G77*'Tabella Carichi Unitari'!$C$5)</f>
        <v/>
      </c>
      <c r="K77" s="109" t="str">
        <f>IF(G77="","",G77*'Tabella Carichi Unitari'!$K$5)</f>
        <v/>
      </c>
      <c r="L77" s="416"/>
      <c r="M77" s="415" t="str">
        <f>IF(L77="","",L77*'Tabella Carichi Unitari'!$G$5)</f>
        <v/>
      </c>
      <c r="N77" s="415" t="str">
        <f>IF(L77="","",L77*'Tabella Carichi Unitari'!$H$5)</f>
        <v/>
      </c>
      <c r="O77" s="415" t="str">
        <f>IF(L77="","",L77*'Tabella Carichi Unitari'!$C$5)</f>
        <v/>
      </c>
      <c r="P77" s="109" t="str">
        <f>IF(L77="","",L77*'Tabella Carichi Unitari'!$K$5)</f>
        <v/>
      </c>
      <c r="Q77" s="416">
        <v>0.5</v>
      </c>
      <c r="R77" s="415">
        <f>IF(Q77="","",Q77*'Tabella Carichi Unitari'!$G$5)</f>
        <v>2.5061399999999998</v>
      </c>
      <c r="S77" s="415">
        <f>IF(Q77="","",Q77*'Tabella Carichi Unitari'!$H$5)</f>
        <v>1.5</v>
      </c>
      <c r="T77" s="415">
        <f>IF(Q77="","",Q77*'Tabella Carichi Unitari'!$C$5)</f>
        <v>1.9277999999999997</v>
      </c>
      <c r="U77" s="109">
        <f>IF(Q77="","",Q77*'Tabella Carichi Unitari'!$K$5)</f>
        <v>0.3</v>
      </c>
      <c r="V77" s="416">
        <v>0.5</v>
      </c>
      <c r="W77" s="415">
        <f>IF(V77="","",V77*'Tabella Carichi Unitari'!$G$5)</f>
        <v>2.5061399999999998</v>
      </c>
      <c r="X77" s="415">
        <f>IF(V77="","",V77*'Tabella Carichi Unitari'!$H$5)</f>
        <v>1.5</v>
      </c>
      <c r="Y77" s="415">
        <f>IF(V77="","",V77*'Tabella Carichi Unitari'!$C$5)</f>
        <v>1.9277999999999997</v>
      </c>
      <c r="Z77" s="109">
        <f>IF(V77="","",V77*'Tabella Carichi Unitari'!$K$5)</f>
        <v>0.3</v>
      </c>
      <c r="AB77" s="416"/>
      <c r="AC77" s="136" t="s">
        <v>312</v>
      </c>
      <c r="AD77" s="415">
        <f>((3.5/2)+(4.8/2))*1.05</f>
        <v>4.3575000000000008</v>
      </c>
      <c r="AE77" s="415">
        <f>IF(AD77="","",AD77*'Tabella Carichi Unitari'!$G$8)</f>
        <v>22.659000000000006</v>
      </c>
      <c r="AF77" s="415">
        <f>IF(AD77="","",AD77*'Tabella Carichi Unitari'!$H$8)</f>
        <v>13.072500000000002</v>
      </c>
      <c r="AG77" s="415">
        <f>IF(AD77="","",AD77*'Tabella Carichi Unitari'!$C$8)</f>
        <v>17.430000000000003</v>
      </c>
      <c r="AH77" s="109">
        <f>IF(AD77="","",AD77*'Tabella Carichi Unitari'!$K$8)</f>
        <v>2.6145000000000005</v>
      </c>
      <c r="AI77" s="415">
        <f>AD77</f>
        <v>4.3575000000000008</v>
      </c>
      <c r="AJ77" s="415">
        <f>IF(AI77="","",AI77*'Tabella Carichi Unitari'!$G$7)</f>
        <v>21.841010100000002</v>
      </c>
      <c r="AK77" s="415">
        <f>IF(AI77="","",AI77*'Tabella Carichi Unitari'!$H$7)</f>
        <v>20.916000000000004</v>
      </c>
      <c r="AL77" s="415">
        <f>IF(AI77="","",AI77*'Tabella Carichi Unitari'!$C$7)</f>
        <v>16.800777</v>
      </c>
      <c r="AM77" s="109">
        <f>IF(AI77="","",AI77*'Tabella Carichi Unitari'!$K$7)</f>
        <v>7.8435000000000006</v>
      </c>
      <c r="AN77" s="415">
        <f>AD77</f>
        <v>4.3575000000000008</v>
      </c>
      <c r="AO77" s="415">
        <f>IF(AN77="","",AN77*'Tabella Carichi Unitari'!$G$7)</f>
        <v>21.841010100000002</v>
      </c>
      <c r="AP77" s="415">
        <f>IF(AN77="","",AN77*'Tabella Carichi Unitari'!$H$7)</f>
        <v>20.916000000000004</v>
      </c>
      <c r="AQ77" s="415">
        <f>IF(AN77="","",AN77*'Tabella Carichi Unitari'!$C$7)</f>
        <v>16.800777</v>
      </c>
      <c r="AR77" s="109">
        <f>IF(AN77="","",AN77*'Tabella Carichi Unitari'!$K$7)</f>
        <v>7.8435000000000006</v>
      </c>
      <c r="AS77" s="415">
        <f>AD77</f>
        <v>4.3575000000000008</v>
      </c>
      <c r="AT77" s="415">
        <f>IF(AS77="","",AS77*'Tabella Carichi Unitari'!$G$7)</f>
        <v>21.841010100000002</v>
      </c>
      <c r="AU77" s="415">
        <f>IF(AS77="","",AS77*'Tabella Carichi Unitari'!$H$7)</f>
        <v>20.916000000000004</v>
      </c>
      <c r="AV77" s="415">
        <f>IF(AS77="","",AS77*'Tabella Carichi Unitari'!$C$7)</f>
        <v>16.800777</v>
      </c>
      <c r="AW77" s="109">
        <f>IF(AS77="","",AS77*'Tabella Carichi Unitari'!$K$7)</f>
        <v>7.8435000000000006</v>
      </c>
      <c r="AX77" s="415">
        <f>AD77</f>
        <v>4.3575000000000008</v>
      </c>
      <c r="AY77" s="415">
        <f>IF(AX77="","",AX77*'Tabella Carichi Unitari'!$G$7)</f>
        <v>21.841010100000002</v>
      </c>
      <c r="AZ77" s="415">
        <f>IF(AX77="","",AX77*'Tabella Carichi Unitari'!$H$7)</f>
        <v>20.916000000000004</v>
      </c>
      <c r="BA77" s="415">
        <f>IF(AX77="","",AX77*'Tabella Carichi Unitari'!$C$7)</f>
        <v>16.800777</v>
      </c>
      <c r="BB77" s="109">
        <f>IF(AX77="","",AX77*'Tabella Carichi Unitari'!$K$7)</f>
        <v>7.8435000000000006</v>
      </c>
    </row>
    <row r="78" spans="1:54" x14ac:dyDescent="0.25">
      <c r="A78" s="136" t="s">
        <v>314</v>
      </c>
      <c r="B78" s="416">
        <f>(0.5+0.15)*2</f>
        <v>1.3</v>
      </c>
      <c r="C78" s="415">
        <f>IF(B78="","",B78*'Tabella Carichi Unitari'!$G$11)</f>
        <v>6.5910000000000002</v>
      </c>
      <c r="D78" s="415">
        <f>IF(B78="","",B78*'Tabella Carichi Unitari'!$H$11)</f>
        <v>0.97500000000000009</v>
      </c>
      <c r="E78" s="415">
        <f>IF(B78="","",B78*'Tabella Carichi Unitari'!$C$11)</f>
        <v>5.07</v>
      </c>
      <c r="F78" s="109">
        <f>IF(B78="","",B78*'Tabella Carichi Unitari'!$K$11)</f>
        <v>0</v>
      </c>
      <c r="G78" s="416">
        <f>(0.5+0.15)*2</f>
        <v>1.3</v>
      </c>
      <c r="H78" s="415">
        <f>IF(G78="","",G78*'Tabella Carichi Unitari'!$G$10)</f>
        <v>6.9458999999999991</v>
      </c>
      <c r="I78" s="415">
        <f>IF(G78="","",G78*'Tabella Carichi Unitari'!$H$10)</f>
        <v>7.8000000000000007</v>
      </c>
      <c r="J78" s="415">
        <f>IF(G78="","",G78*'Tabella Carichi Unitari'!$C$10)</f>
        <v>5.3429999999999991</v>
      </c>
      <c r="K78" s="109">
        <f>IF(G78="","",G78*'Tabella Carichi Unitari'!$K$10)</f>
        <v>3.12</v>
      </c>
      <c r="L78" s="416">
        <f>(0.5+0.15)*2</f>
        <v>1.3</v>
      </c>
      <c r="M78" s="415">
        <f>IF(L78="","",L78*'Tabella Carichi Unitari'!$G$10)</f>
        <v>6.9458999999999991</v>
      </c>
      <c r="N78" s="415">
        <f>IF(L78="","",L78*'Tabella Carichi Unitari'!$H$10)</f>
        <v>7.8000000000000007</v>
      </c>
      <c r="O78" s="415">
        <f>IF(L78="","",L78*'Tabella Carichi Unitari'!$C$10)</f>
        <v>5.3429999999999991</v>
      </c>
      <c r="P78" s="109">
        <f>IF(L78="","",L78*'Tabella Carichi Unitari'!$K$10)</f>
        <v>3.12</v>
      </c>
      <c r="Q78" s="416"/>
      <c r="R78" s="415" t="str">
        <f>IF(Q78="","",Q78*'Tabella Carichi Unitari'!$G$10)</f>
        <v/>
      </c>
      <c r="S78" s="415" t="str">
        <f>IF(Q78="","",Q78*'Tabella Carichi Unitari'!$H$10)</f>
        <v/>
      </c>
      <c r="T78" s="415" t="str">
        <f>IF(Q78="","",Q78*'Tabella Carichi Unitari'!$C$10)</f>
        <v/>
      </c>
      <c r="U78" s="109" t="str">
        <f>IF(Q78="","",Q78*'Tabella Carichi Unitari'!$K$10)</f>
        <v/>
      </c>
      <c r="V78" s="416"/>
      <c r="W78" s="415" t="str">
        <f>IF(V78="","",V78*'Tabella Carichi Unitari'!$G$10)</f>
        <v/>
      </c>
      <c r="X78" s="415" t="str">
        <f>IF(V78="","",V78*'Tabella Carichi Unitari'!$H$10)</f>
        <v/>
      </c>
      <c r="Y78" s="415" t="str">
        <f>IF(V78="","",V78*'Tabella Carichi Unitari'!$C$10)</f>
        <v/>
      </c>
      <c r="Z78" s="109" t="str">
        <f>IF(V78="","",V78*'Tabella Carichi Unitari'!$K$10)</f>
        <v/>
      </c>
      <c r="AB78" s="416"/>
      <c r="AC78" s="136" t="s">
        <v>314</v>
      </c>
      <c r="AD78" s="416"/>
      <c r="AE78" s="415" t="str">
        <f>IF(AD78="","",AD78*'Tabella Carichi Unitari'!$G$11)</f>
        <v/>
      </c>
      <c r="AF78" s="415" t="str">
        <f>IF(AD78="","",AD78*'Tabella Carichi Unitari'!$H$11)</f>
        <v/>
      </c>
      <c r="AG78" s="415" t="str">
        <f>IF(AD78="","",AD78*'Tabella Carichi Unitari'!$C$11)</f>
        <v/>
      </c>
      <c r="AH78" s="109" t="str">
        <f>IF(AD78="","",AD78*'Tabella Carichi Unitari'!$K$11)</f>
        <v/>
      </c>
      <c r="AI78" s="416"/>
      <c r="AJ78" s="415" t="str">
        <f>IF(AI78="","",AI78*'Tabella Carichi Unitari'!$G$10)</f>
        <v/>
      </c>
      <c r="AK78" s="415" t="str">
        <f>IF(AI78="","",AI78*'Tabella Carichi Unitari'!$H$10)</f>
        <v/>
      </c>
      <c r="AL78" s="415" t="str">
        <f>IF(AI78="","",AI78*'Tabella Carichi Unitari'!$C$10)</f>
        <v/>
      </c>
      <c r="AM78" s="109" t="str">
        <f>IF(AI78="","",AI78*'Tabella Carichi Unitari'!$K$10)</f>
        <v/>
      </c>
      <c r="AN78" s="416"/>
      <c r="AO78" s="415" t="str">
        <f>IF(AN78="","",AN78*'Tabella Carichi Unitari'!$G$10)</f>
        <v/>
      </c>
      <c r="AP78" s="415" t="str">
        <f>IF(AN78="","",AN78*'Tabella Carichi Unitari'!$H$10)</f>
        <v/>
      </c>
      <c r="AQ78" s="415" t="str">
        <f>IF(AN78="","",AN78*'Tabella Carichi Unitari'!$C$10)</f>
        <v/>
      </c>
      <c r="AR78" s="109" t="str">
        <f>IF(AN78="","",AN78*'Tabella Carichi Unitari'!$K$10)</f>
        <v/>
      </c>
      <c r="AS78" s="416"/>
      <c r="AT78" s="415" t="str">
        <f>IF(AS78="","",AS78*'Tabella Carichi Unitari'!$G$10)</f>
        <v/>
      </c>
      <c r="AU78" s="415" t="str">
        <f>IF(AS78="","",AS78*'Tabella Carichi Unitari'!$H$10)</f>
        <v/>
      </c>
      <c r="AV78" s="415" t="str">
        <f>IF(AS78="","",AS78*'Tabella Carichi Unitari'!$C$10)</f>
        <v/>
      </c>
      <c r="AW78" s="109" t="str">
        <f>IF(AS78="","",AS78*'Tabella Carichi Unitari'!$K$10)</f>
        <v/>
      </c>
      <c r="AX78" s="416"/>
      <c r="AY78" s="415" t="str">
        <f>IF(AX78="","",AX78*'Tabella Carichi Unitari'!$G$10)</f>
        <v/>
      </c>
      <c r="AZ78" s="415" t="str">
        <f>IF(AX78="","",AX78*'Tabella Carichi Unitari'!$H$10)</f>
        <v/>
      </c>
      <c r="BA78" s="415" t="str">
        <f>IF(AX78="","",AX78*'Tabella Carichi Unitari'!$C$10)</f>
        <v/>
      </c>
      <c r="BB78" s="109" t="str">
        <f>IF(AX78="","",AX78*'Tabella Carichi Unitari'!$K$10)</f>
        <v/>
      </c>
    </row>
    <row r="79" spans="1:54" x14ac:dyDescent="0.25">
      <c r="A79" s="136" t="s">
        <v>315</v>
      </c>
      <c r="B79" s="416"/>
      <c r="C79" s="415" t="str">
        <f>IF(B79="","",B79*'Tabella Carichi Unitari'!$G$12)</f>
        <v/>
      </c>
      <c r="D79" s="415" t="str">
        <f>IF(B79="","",B79*'Tabella Carichi Unitari'!$H$12)</f>
        <v/>
      </c>
      <c r="E79" s="415" t="str">
        <f>IF(B79="","",B79*'Tabella Carichi Unitari'!$C$12)</f>
        <v/>
      </c>
      <c r="F79" s="109" t="str">
        <f>IF(B79="","",B79*'Tabella Carichi Unitari'!$K$12)</f>
        <v/>
      </c>
      <c r="G79" s="416"/>
      <c r="H79" s="415" t="str">
        <f>IF(G79="","",G79*'Tabella Carichi Unitari'!$G$12)</f>
        <v/>
      </c>
      <c r="I79" s="415" t="str">
        <f>IF(G79="","",G79*'Tabella Carichi Unitari'!$H$12)</f>
        <v/>
      </c>
      <c r="J79" s="415" t="str">
        <f>IF(G79="","",G79*'Tabella Carichi Unitari'!$C$12)</f>
        <v/>
      </c>
      <c r="K79" s="109" t="str">
        <f>IF(G79="","",G79*'Tabella Carichi Unitari'!$K$12)</f>
        <v/>
      </c>
      <c r="L79" s="416"/>
      <c r="M79" s="415" t="str">
        <f>IF(L79="","",L79*'Tabella Carichi Unitari'!$G$12)</f>
        <v/>
      </c>
      <c r="N79" s="415" t="str">
        <f>IF(L79="","",L79*'Tabella Carichi Unitari'!$H$12)</f>
        <v/>
      </c>
      <c r="O79" s="415" t="str">
        <f>IF(L79="","",L79*'Tabella Carichi Unitari'!$C$12)</f>
        <v/>
      </c>
      <c r="P79" s="109" t="str">
        <f>IF(L79="","",L79*'Tabella Carichi Unitari'!$K$12)</f>
        <v/>
      </c>
      <c r="Q79" s="416"/>
      <c r="R79" s="415" t="str">
        <f>IF(Q79="","",Q79*'Tabella Carichi Unitari'!$G$12)</f>
        <v/>
      </c>
      <c r="S79" s="415" t="str">
        <f>IF(Q79="","",Q79*'Tabella Carichi Unitari'!$H$12)</f>
        <v/>
      </c>
      <c r="T79" s="415" t="str">
        <f>IF(Q79="","",Q79*'Tabella Carichi Unitari'!$C$12)</f>
        <v/>
      </c>
      <c r="U79" s="109" t="str">
        <f>IF(Q79="","",Q79*'Tabella Carichi Unitari'!$K$12)</f>
        <v/>
      </c>
      <c r="V79" s="416"/>
      <c r="W79" s="415" t="str">
        <f>IF(V79="","",V79*'Tabella Carichi Unitari'!$G$12)</f>
        <v/>
      </c>
      <c r="X79" s="415" t="str">
        <f>IF(V79="","",V79*'Tabella Carichi Unitari'!$H$12)</f>
        <v/>
      </c>
      <c r="Y79" s="415" t="str">
        <f>IF(V79="","",V79*'Tabella Carichi Unitari'!$C$12)</f>
        <v/>
      </c>
      <c r="Z79" s="109" t="str">
        <f>IF(V79="","",V79*'Tabella Carichi Unitari'!$K$12)</f>
        <v/>
      </c>
      <c r="AB79" s="416"/>
      <c r="AC79" s="136" t="s">
        <v>315</v>
      </c>
      <c r="AD79" s="416"/>
      <c r="AE79" s="415" t="str">
        <f>IF(AD79="","",AD79*'Tabella Carichi Unitari'!$G$12)</f>
        <v/>
      </c>
      <c r="AF79" s="415" t="str">
        <f>IF(AD79="","",AD79*'Tabella Carichi Unitari'!$H$12)</f>
        <v/>
      </c>
      <c r="AG79" s="415" t="str">
        <f>IF(AD79="","",AD79*'Tabella Carichi Unitari'!$C$12)</f>
        <v/>
      </c>
      <c r="AH79" s="109" t="str">
        <f>IF(AD79="","",AD79*'Tabella Carichi Unitari'!$K$12)</f>
        <v/>
      </c>
      <c r="AI79" s="416"/>
      <c r="AJ79" s="415" t="str">
        <f>IF(AI79="","",AI79*'Tabella Carichi Unitari'!$G$12)</f>
        <v/>
      </c>
      <c r="AK79" s="415" t="str">
        <f>IF(AI79="","",AI79*'Tabella Carichi Unitari'!$H$12)</f>
        <v/>
      </c>
      <c r="AL79" s="415" t="str">
        <f>IF(AI79="","",AI79*'Tabella Carichi Unitari'!$C$12)</f>
        <v/>
      </c>
      <c r="AM79" s="109" t="str">
        <f>IF(AI79="","",AI79*'Tabella Carichi Unitari'!$K$12)</f>
        <v/>
      </c>
      <c r="AN79" s="416"/>
      <c r="AO79" s="415" t="str">
        <f>IF(AN79="","",AN79*'Tabella Carichi Unitari'!$G$12)</f>
        <v/>
      </c>
      <c r="AP79" s="415" t="str">
        <f>IF(AN79="","",AN79*'Tabella Carichi Unitari'!$H$12)</f>
        <v/>
      </c>
      <c r="AQ79" s="415" t="str">
        <f>IF(AN79="","",AN79*'Tabella Carichi Unitari'!$C$12)</f>
        <v/>
      </c>
      <c r="AR79" s="109" t="str">
        <f>IF(AN79="","",AN79*'Tabella Carichi Unitari'!$K$12)</f>
        <v/>
      </c>
      <c r="AS79" s="416"/>
      <c r="AT79" s="415" t="str">
        <f>IF(AS79="","",AS79*'Tabella Carichi Unitari'!$G$12)</f>
        <v/>
      </c>
      <c r="AU79" s="415" t="str">
        <f>IF(AS79="","",AS79*'Tabella Carichi Unitari'!$H$12)</f>
        <v/>
      </c>
      <c r="AV79" s="415" t="str">
        <f>IF(AS79="","",AS79*'Tabella Carichi Unitari'!$C$12)</f>
        <v/>
      </c>
      <c r="AW79" s="109" t="str">
        <f>IF(AS79="","",AS79*'Tabella Carichi Unitari'!$K$12)</f>
        <v/>
      </c>
      <c r="AX79" s="416"/>
      <c r="AY79" s="415" t="str">
        <f>IF(AX79="","",AX79*'Tabella Carichi Unitari'!$G$12)</f>
        <v/>
      </c>
      <c r="AZ79" s="415" t="str">
        <f>IF(AX79="","",AX79*'Tabella Carichi Unitari'!$H$12)</f>
        <v/>
      </c>
      <c r="BA79" s="415" t="str">
        <f>IF(AX79="","",AX79*'Tabella Carichi Unitari'!$C$12)</f>
        <v/>
      </c>
      <c r="BB79" s="109" t="str">
        <f>IF(AX79="","",AX79*'Tabella Carichi Unitari'!$K$12)</f>
        <v/>
      </c>
    </row>
    <row r="80" spans="1:54" x14ac:dyDescent="0.25">
      <c r="A80" s="136" t="s">
        <v>391</v>
      </c>
      <c r="B80" s="416">
        <v>1</v>
      </c>
      <c r="C80" s="415">
        <f>IF(B80="","",B80*'Tabella Carichi Unitari'!$G$15)</f>
        <v>3.8415000000000004</v>
      </c>
      <c r="D80" s="415">
        <f>IF(B80="","",B80*'Tabella Carichi Unitari'!$H$15)</f>
        <v>0</v>
      </c>
      <c r="E80" s="415">
        <f>IF(B80="","",B80*'Tabella Carichi Unitari'!$C$15)</f>
        <v>2.9550000000000001</v>
      </c>
      <c r="F80" s="109">
        <f>IF(B80="","",B80*'Tabella Carichi Unitari'!$K$15)</f>
        <v>0</v>
      </c>
      <c r="G80" s="416">
        <v>1</v>
      </c>
      <c r="H80" s="415">
        <f>IF(G80="","",G80*'Tabella Carichi Unitari'!$G$14)</f>
        <v>4.8165000000000004</v>
      </c>
      <c r="I80" s="415">
        <f>IF(G80="","",G80*'Tabella Carichi Unitari'!$H$14)</f>
        <v>0</v>
      </c>
      <c r="J80" s="415">
        <f>IF(G80="","",G80*'Tabella Carichi Unitari'!$C$14)</f>
        <v>3.7050000000000001</v>
      </c>
      <c r="K80" s="109">
        <f>IF(G80="","",G80*'Tabella Carichi Unitari'!$K$14)</f>
        <v>0</v>
      </c>
      <c r="L80" s="416">
        <v>1</v>
      </c>
      <c r="M80" s="415">
        <f>IF(L80="","",L80*'Tabella Carichi Unitari'!$G$13)</f>
        <v>5.7915000000000001</v>
      </c>
      <c r="N80" s="415">
        <f>IF(L80="","",L80*'Tabella Carichi Unitari'!$H$13)</f>
        <v>0</v>
      </c>
      <c r="O80" s="415">
        <f>IF(L80="","",L80*'Tabella Carichi Unitari'!$C$13)</f>
        <v>4.4550000000000001</v>
      </c>
      <c r="P80" s="109">
        <f>IF(L80="","",L80*'Tabella Carichi Unitari'!$K$13)</f>
        <v>0</v>
      </c>
      <c r="Q80" s="416">
        <v>1</v>
      </c>
      <c r="R80" s="415">
        <f>IF(Q80="","",Q80*'Tabella Carichi Unitari'!$G$13)</f>
        <v>5.7915000000000001</v>
      </c>
      <c r="S80" s="415">
        <f>IF(Q80="","",Q80*'Tabella Carichi Unitari'!$H$13)</f>
        <v>0</v>
      </c>
      <c r="T80" s="415">
        <f>IF(Q80="","",Q80*'Tabella Carichi Unitari'!$C$13)</f>
        <v>4.4550000000000001</v>
      </c>
      <c r="U80" s="109">
        <f>IF(Q80="","",Q80*'Tabella Carichi Unitari'!$K$13)</f>
        <v>0</v>
      </c>
      <c r="V80" s="416">
        <v>1</v>
      </c>
      <c r="W80" s="415">
        <f>IF(V80="","",V80*'Tabella Carichi Unitari'!$G$13)</f>
        <v>5.7915000000000001</v>
      </c>
      <c r="X80" s="415">
        <f>IF(V80="","",V80*'Tabella Carichi Unitari'!$H$13)</f>
        <v>0</v>
      </c>
      <c r="Y80" s="415">
        <f>IF(V80="","",V80*'Tabella Carichi Unitari'!$C$13)</f>
        <v>4.4550000000000001</v>
      </c>
      <c r="Z80" s="109">
        <f>IF(V80="","",V80*'Tabella Carichi Unitari'!$K$13)</f>
        <v>0</v>
      </c>
      <c r="AB80" s="416"/>
      <c r="AC80" s="136" t="s">
        <v>391</v>
      </c>
      <c r="AD80" s="416">
        <v>1</v>
      </c>
      <c r="AE80" s="415">
        <f>IF(AD80="","",AD80*'Tabella Carichi Unitari'!$G$15)</f>
        <v>3.8415000000000004</v>
      </c>
      <c r="AF80" s="415">
        <f>IF(AD80="","",AD80*'Tabella Carichi Unitari'!$H$15)</f>
        <v>0</v>
      </c>
      <c r="AG80" s="415">
        <f>IF(AD80="","",AD80*'Tabella Carichi Unitari'!$C$15)</f>
        <v>2.9550000000000001</v>
      </c>
      <c r="AH80" s="109">
        <f>IF(AD80="","",AD80*'Tabella Carichi Unitari'!$K$15)</f>
        <v>0</v>
      </c>
      <c r="AI80" s="416">
        <v>1</v>
      </c>
      <c r="AJ80" s="415">
        <f>IF(AI80="","",AI80*'Tabella Carichi Unitari'!$G$14)</f>
        <v>4.8165000000000004</v>
      </c>
      <c r="AK80" s="415">
        <f>IF(AI80="","",AI80*'Tabella Carichi Unitari'!$H$14)</f>
        <v>0</v>
      </c>
      <c r="AL80" s="415">
        <f>IF(AI80="","",AI80*'Tabella Carichi Unitari'!$C$14)</f>
        <v>3.7050000000000001</v>
      </c>
      <c r="AM80" s="109">
        <f>IF(AI80="","",AI80*'Tabella Carichi Unitari'!$K$14)</f>
        <v>0</v>
      </c>
      <c r="AN80" s="416">
        <v>1</v>
      </c>
      <c r="AO80" s="415">
        <f>IF(AN80="","",AN80*'Tabella Carichi Unitari'!$G$13)</f>
        <v>5.7915000000000001</v>
      </c>
      <c r="AP80" s="415">
        <f>IF(AN80="","",AN80*'Tabella Carichi Unitari'!$H$13)</f>
        <v>0</v>
      </c>
      <c r="AQ80" s="415">
        <f>IF(AN80="","",AN80*'Tabella Carichi Unitari'!$C$13)</f>
        <v>4.4550000000000001</v>
      </c>
      <c r="AR80" s="109">
        <f>IF(AN80="","",AN80*'Tabella Carichi Unitari'!$K$13)</f>
        <v>0</v>
      </c>
      <c r="AS80" s="416">
        <v>1</v>
      </c>
      <c r="AT80" s="415">
        <f>IF(AS80="","",AS80*'Tabella Carichi Unitari'!$G$13)</f>
        <v>5.7915000000000001</v>
      </c>
      <c r="AU80" s="415">
        <f>IF(AS80="","",AS80*'Tabella Carichi Unitari'!$H$13)</f>
        <v>0</v>
      </c>
      <c r="AV80" s="415">
        <f>IF(AS80="","",AS80*'Tabella Carichi Unitari'!$C$13)</f>
        <v>4.4550000000000001</v>
      </c>
      <c r="AW80" s="109">
        <f>IF(AS80="","",AS80*'Tabella Carichi Unitari'!$K$13)</f>
        <v>0</v>
      </c>
      <c r="AX80" s="416">
        <v>1</v>
      </c>
      <c r="AY80" s="415">
        <f>IF(AX80="","",AX80*'Tabella Carichi Unitari'!$G$13)</f>
        <v>5.7915000000000001</v>
      </c>
      <c r="AZ80" s="415">
        <f>IF(AX80="","",AX80*'Tabella Carichi Unitari'!$H$13)</f>
        <v>0</v>
      </c>
      <c r="BA80" s="415">
        <f>IF(AX80="","",AX80*'Tabella Carichi Unitari'!$C$13)</f>
        <v>4.4550000000000001</v>
      </c>
      <c r="BB80" s="109">
        <f>IF(AX80="","",AX80*'Tabella Carichi Unitari'!$K$13)</f>
        <v>0</v>
      </c>
    </row>
    <row r="81" spans="1:54" x14ac:dyDescent="0.25">
      <c r="A81" s="136" t="s">
        <v>392</v>
      </c>
      <c r="B81" s="416"/>
      <c r="C81" s="415" t="str">
        <f>IF(B81="","",B81*'Tabella Carichi Unitari'!$G$16)</f>
        <v/>
      </c>
      <c r="D81" s="415" t="str">
        <f>IF(B81="","",B81*'Tabella Carichi Unitari'!$H$16)</f>
        <v/>
      </c>
      <c r="E81" s="415" t="str">
        <f>IF(B81="","",B81*'Tabella Carichi Unitari'!$C$16)</f>
        <v/>
      </c>
      <c r="F81" s="109" t="str">
        <f>IF(B81="","",B81*'Tabella Carichi Unitari'!$K$16)</f>
        <v/>
      </c>
      <c r="G81" s="416"/>
      <c r="H81" s="415" t="str">
        <f>IF(G81="","",G81*'Tabella Carichi Unitari'!$G$16)</f>
        <v/>
      </c>
      <c r="I81" s="415" t="str">
        <f>IF(G81="","",G81*'Tabella Carichi Unitari'!$H$16)</f>
        <v/>
      </c>
      <c r="J81" s="415" t="str">
        <f>IF(G81="","",G81*'Tabella Carichi Unitari'!$C$16)</f>
        <v/>
      </c>
      <c r="K81" s="109" t="str">
        <f>IF(G81="","",G81*'Tabella Carichi Unitari'!$K$16)</f>
        <v/>
      </c>
      <c r="L81" s="416"/>
      <c r="M81" s="415" t="str">
        <f>IF(L81="","",L81*'Tabella Carichi Unitari'!$G$16)</f>
        <v/>
      </c>
      <c r="N81" s="415" t="str">
        <f>IF(L81="","",L81*'Tabella Carichi Unitari'!$H$16)</f>
        <v/>
      </c>
      <c r="O81" s="415" t="str">
        <f>IF(L81="","",L81*'Tabella Carichi Unitari'!$C$16)</f>
        <v/>
      </c>
      <c r="P81" s="109" t="str">
        <f>IF(L81="","",L81*'Tabella Carichi Unitari'!$K$16)</f>
        <v/>
      </c>
      <c r="Q81" s="416"/>
      <c r="R81" s="415" t="str">
        <f>IF(Q81="","",Q81*'Tabella Carichi Unitari'!$G$16)</f>
        <v/>
      </c>
      <c r="S81" s="415" t="str">
        <f>IF(Q81="","",Q81*'Tabella Carichi Unitari'!$H$16)</f>
        <v/>
      </c>
      <c r="T81" s="415" t="str">
        <f>IF(Q81="","",Q81*'Tabella Carichi Unitari'!$C$16)</f>
        <v/>
      </c>
      <c r="U81" s="109" t="str">
        <f>IF(Q81="","",Q81*'Tabella Carichi Unitari'!$K$16)</f>
        <v/>
      </c>
      <c r="V81" s="416"/>
      <c r="W81" s="415" t="str">
        <f>IF(V81="","",V81*'Tabella Carichi Unitari'!$G$16)</f>
        <v/>
      </c>
      <c r="X81" s="415" t="str">
        <f>IF(V81="","",V81*'Tabella Carichi Unitari'!$H$16)</f>
        <v/>
      </c>
      <c r="Y81" s="415" t="str">
        <f>IF(V81="","",V81*'Tabella Carichi Unitari'!$C$16)</f>
        <v/>
      </c>
      <c r="Z81" s="109" t="str">
        <f>IF(V81="","",V81*'Tabella Carichi Unitari'!$K$16)</f>
        <v/>
      </c>
      <c r="AB81" s="416"/>
      <c r="AC81" s="136" t="s">
        <v>392</v>
      </c>
      <c r="AD81" s="416"/>
      <c r="AE81" s="415" t="str">
        <f>IF(AD81="","",AD81*'Tabella Carichi Unitari'!$G$16)</f>
        <v/>
      </c>
      <c r="AF81" s="415" t="str">
        <f>IF(AD81="","",AD81*'Tabella Carichi Unitari'!$H$16)</f>
        <v/>
      </c>
      <c r="AG81" s="415" t="str">
        <f>IF(AD81="","",AD81*'Tabella Carichi Unitari'!$C$16)</f>
        <v/>
      </c>
      <c r="AH81" s="109" t="str">
        <f>IF(AD81="","",AD81*'Tabella Carichi Unitari'!$K$16)</f>
        <v/>
      </c>
      <c r="AI81" s="416"/>
      <c r="AJ81" s="415" t="str">
        <f>IF(AI81="","",AI81*'Tabella Carichi Unitari'!$G$16)</f>
        <v/>
      </c>
      <c r="AK81" s="415" t="str">
        <f>IF(AI81="","",AI81*'Tabella Carichi Unitari'!$H$16)</f>
        <v/>
      </c>
      <c r="AL81" s="415" t="str">
        <f>IF(AI81="","",AI81*'Tabella Carichi Unitari'!$C$16)</f>
        <v/>
      </c>
      <c r="AM81" s="109" t="str">
        <f>IF(AI81="","",AI81*'Tabella Carichi Unitari'!$K$16)</f>
        <v/>
      </c>
      <c r="AN81" s="416"/>
      <c r="AO81" s="415" t="str">
        <f>IF(AN81="","",AN81*'Tabella Carichi Unitari'!$G$16)</f>
        <v/>
      </c>
      <c r="AP81" s="415" t="str">
        <f>IF(AN81="","",AN81*'Tabella Carichi Unitari'!$H$16)</f>
        <v/>
      </c>
      <c r="AQ81" s="415" t="str">
        <f>IF(AN81="","",AN81*'Tabella Carichi Unitari'!$C$16)</f>
        <v/>
      </c>
      <c r="AR81" s="109" t="str">
        <f>IF(AN81="","",AN81*'Tabella Carichi Unitari'!$K$16)</f>
        <v/>
      </c>
      <c r="AS81" s="416"/>
      <c r="AT81" s="415" t="str">
        <f>IF(AS81="","",AS81*'Tabella Carichi Unitari'!$G$16)</f>
        <v/>
      </c>
      <c r="AU81" s="415" t="str">
        <f>IF(AS81="","",AS81*'Tabella Carichi Unitari'!$H$16)</f>
        <v/>
      </c>
      <c r="AV81" s="415" t="str">
        <f>IF(AS81="","",AS81*'Tabella Carichi Unitari'!$C$16)</f>
        <v/>
      </c>
      <c r="AW81" s="109" t="str">
        <f>IF(AS81="","",AS81*'Tabella Carichi Unitari'!$K$16)</f>
        <v/>
      </c>
      <c r="AX81" s="416"/>
      <c r="AY81" s="415" t="str">
        <f>IF(AX81="","",AX81*'Tabella Carichi Unitari'!$G$16)</f>
        <v/>
      </c>
      <c r="AZ81" s="415" t="str">
        <f>IF(AX81="","",AX81*'Tabella Carichi Unitari'!$H$16)</f>
        <v/>
      </c>
      <c r="BA81" s="415" t="str">
        <f>IF(AX81="","",AX81*'Tabella Carichi Unitari'!$C$16)</f>
        <v/>
      </c>
      <c r="BB81" s="109" t="str">
        <f>IF(AX81="","",AX81*'Tabella Carichi Unitari'!$K$16)</f>
        <v/>
      </c>
    </row>
    <row r="82" spans="1:54" x14ac:dyDescent="0.25">
      <c r="A82" s="136" t="s">
        <v>313</v>
      </c>
      <c r="B82" s="416"/>
      <c r="C82" s="168" t="str">
        <f>IF(B82="","",B82*'Tabella Carichi Unitari'!$G$17)</f>
        <v/>
      </c>
      <c r="D82" s="168" t="str">
        <f>IF(B82="","",B82*'Tabella Carichi Unitari'!$H$17)</f>
        <v/>
      </c>
      <c r="E82" s="168" t="str">
        <f>IF(B82="","",B82*'Tabella Carichi Unitari'!$C$17)</f>
        <v/>
      </c>
      <c r="F82" s="110" t="str">
        <f>IF(B82="","",B82*'Tabella Carichi Unitari'!$K$17)</f>
        <v/>
      </c>
      <c r="G82" s="416">
        <v>0.9</v>
      </c>
      <c r="H82" s="168">
        <f>IF(G82="","",G82*'Tabella Carichi Unitari'!$G$17)</f>
        <v>6.7860000000000014</v>
      </c>
      <c r="I82" s="168">
        <f>IF(G82="","",G82*'Tabella Carichi Unitari'!$H$17)</f>
        <v>0</v>
      </c>
      <c r="J82" s="168">
        <f>IF(G82="","",G82*'Tabella Carichi Unitari'!$C$17)</f>
        <v>5.2200000000000006</v>
      </c>
      <c r="K82" s="110">
        <f>IF(G82="","",G82*'Tabella Carichi Unitari'!$K$17)</f>
        <v>0</v>
      </c>
      <c r="L82" s="416">
        <v>0.9</v>
      </c>
      <c r="M82" s="168">
        <f>IF(L82="","",L82*'Tabella Carichi Unitari'!$G$17)</f>
        <v>6.7860000000000014</v>
      </c>
      <c r="N82" s="168">
        <f>IF(L82="","",L82*'Tabella Carichi Unitari'!$H$17)</f>
        <v>0</v>
      </c>
      <c r="O82" s="168">
        <f>IF(L82="","",L82*'Tabella Carichi Unitari'!$C$17)</f>
        <v>5.2200000000000006</v>
      </c>
      <c r="P82" s="110">
        <f>IF(L82="","",L82*'Tabella Carichi Unitari'!$K$17)</f>
        <v>0</v>
      </c>
      <c r="Q82" s="416">
        <v>0.9</v>
      </c>
      <c r="R82" s="168">
        <f>IF(Q82="","",Q82*'Tabella Carichi Unitari'!$G$17)</f>
        <v>6.7860000000000014</v>
      </c>
      <c r="S82" s="168">
        <f>IF(Q82="","",Q82*'Tabella Carichi Unitari'!$H$17)</f>
        <v>0</v>
      </c>
      <c r="T82" s="168">
        <f>IF(Q82="","",Q82*'Tabella Carichi Unitari'!$C$17)</f>
        <v>5.2200000000000006</v>
      </c>
      <c r="U82" s="110">
        <f>IF(Q82="","",Q82*'Tabella Carichi Unitari'!$K$17)</f>
        <v>0</v>
      </c>
      <c r="V82" s="416">
        <v>0.9</v>
      </c>
      <c r="W82" s="168">
        <f>IF(V82="","",V82*'Tabella Carichi Unitari'!$G$17)</f>
        <v>6.7860000000000014</v>
      </c>
      <c r="X82" s="168">
        <f>IF(V82="","",V82*'Tabella Carichi Unitari'!$H$17)</f>
        <v>0</v>
      </c>
      <c r="Y82" s="168">
        <f>IF(V82="","",V82*'Tabella Carichi Unitari'!$C$17)</f>
        <v>5.2200000000000006</v>
      </c>
      <c r="Z82" s="110">
        <f>IF(V82="","",V82*'Tabella Carichi Unitari'!$K$17)</f>
        <v>0</v>
      </c>
      <c r="AB82" s="416"/>
      <c r="AC82" s="136" t="s">
        <v>313</v>
      </c>
      <c r="AD82" s="416"/>
      <c r="AE82" s="168" t="str">
        <f>IF(AD82="","",AD82*'Tabella Carichi Unitari'!$G$17)</f>
        <v/>
      </c>
      <c r="AF82" s="168" t="str">
        <f>IF(AD82="","",AD82*'Tabella Carichi Unitari'!$H$17)</f>
        <v/>
      </c>
      <c r="AG82" s="168" t="str">
        <f>IF(AD82="","",AD82*'Tabella Carichi Unitari'!$C$17)</f>
        <v/>
      </c>
      <c r="AH82" s="110" t="str">
        <f>IF(AD82="","",AD82*'Tabella Carichi Unitari'!$K$17)</f>
        <v/>
      </c>
      <c r="AI82" s="416"/>
      <c r="AJ82" s="168" t="str">
        <f>IF(AI82="","",AI82*'Tabella Carichi Unitari'!$G$17)</f>
        <v/>
      </c>
      <c r="AK82" s="168" t="str">
        <f>IF(AI82="","",AI82*'Tabella Carichi Unitari'!$H$17)</f>
        <v/>
      </c>
      <c r="AL82" s="168" t="str">
        <f>IF(AI82="","",AI82*'Tabella Carichi Unitari'!$C$17)</f>
        <v/>
      </c>
      <c r="AM82" s="110" t="str">
        <f>IF(AI82="","",AI82*'Tabella Carichi Unitari'!$K$17)</f>
        <v/>
      </c>
      <c r="AN82" s="416"/>
      <c r="AO82" s="168" t="str">
        <f>IF(AN82="","",AN82*'Tabella Carichi Unitari'!$G$17)</f>
        <v/>
      </c>
      <c r="AP82" s="168" t="str">
        <f>IF(AN82="","",AN82*'Tabella Carichi Unitari'!$H$17)</f>
        <v/>
      </c>
      <c r="AQ82" s="168" t="str">
        <f>IF(AN82="","",AN82*'Tabella Carichi Unitari'!$C$17)</f>
        <v/>
      </c>
      <c r="AR82" s="110" t="str">
        <f>IF(AN82="","",AN82*'Tabella Carichi Unitari'!$K$17)</f>
        <v/>
      </c>
      <c r="AS82" s="416"/>
      <c r="AT82" s="168" t="str">
        <f>IF(AS82="","",AS82*'Tabella Carichi Unitari'!$G$17)</f>
        <v/>
      </c>
      <c r="AU82" s="168" t="str">
        <f>IF(AS82="","",AS82*'Tabella Carichi Unitari'!$H$17)</f>
        <v/>
      </c>
      <c r="AV82" s="168" t="str">
        <f>IF(AS82="","",AS82*'Tabella Carichi Unitari'!$C$17)</f>
        <v/>
      </c>
      <c r="AW82" s="110" t="str">
        <f>IF(AS82="","",AS82*'Tabella Carichi Unitari'!$K$17)</f>
        <v/>
      </c>
      <c r="AX82" s="416"/>
      <c r="AY82" s="168" t="str">
        <f>IF(AX82="","",AX82*'Tabella Carichi Unitari'!$G$17)</f>
        <v/>
      </c>
      <c r="AZ82" s="168" t="str">
        <f>IF(AX82="","",AX82*'Tabella Carichi Unitari'!$H$17)</f>
        <v/>
      </c>
      <c r="BA82" s="168" t="str">
        <f>IF(AX82="","",AX82*'Tabella Carichi Unitari'!$C$17)</f>
        <v/>
      </c>
      <c r="BB82" s="110" t="str">
        <f>IF(AX82="","",AX82*'Tabella Carichi Unitari'!$K$17)</f>
        <v/>
      </c>
    </row>
    <row r="83" spans="1:54" x14ac:dyDescent="0.25">
      <c r="A83" s="136"/>
      <c r="B83" s="416"/>
      <c r="C83" s="415">
        <f>SUM(C77:C82)</f>
        <v>10.432500000000001</v>
      </c>
      <c r="D83" s="415">
        <f t="shared" ref="D83:Z83" si="49">SUM(D77:D82)</f>
        <v>0.97500000000000009</v>
      </c>
      <c r="E83" s="415">
        <f t="shared" si="49"/>
        <v>8.0250000000000004</v>
      </c>
      <c r="F83" s="415">
        <f t="shared" si="49"/>
        <v>0</v>
      </c>
      <c r="G83" s="415"/>
      <c r="H83" s="415">
        <f t="shared" si="49"/>
        <v>18.548400000000001</v>
      </c>
      <c r="I83" s="415">
        <f t="shared" si="49"/>
        <v>7.8000000000000007</v>
      </c>
      <c r="J83" s="415">
        <f t="shared" si="49"/>
        <v>14.267999999999999</v>
      </c>
      <c r="K83" s="415">
        <f t="shared" si="49"/>
        <v>3.12</v>
      </c>
      <c r="L83" s="415"/>
      <c r="M83" s="415">
        <f t="shared" si="49"/>
        <v>19.523400000000002</v>
      </c>
      <c r="N83" s="415">
        <f t="shared" si="49"/>
        <v>7.8000000000000007</v>
      </c>
      <c r="O83" s="415">
        <f t="shared" si="49"/>
        <v>15.017999999999999</v>
      </c>
      <c r="P83" s="415">
        <f t="shared" si="49"/>
        <v>3.12</v>
      </c>
      <c r="Q83" s="415"/>
      <c r="R83" s="415">
        <f t="shared" si="49"/>
        <v>15.083640000000001</v>
      </c>
      <c r="S83" s="415">
        <f t="shared" si="49"/>
        <v>1.5</v>
      </c>
      <c r="T83" s="415">
        <f t="shared" si="49"/>
        <v>11.6028</v>
      </c>
      <c r="U83" s="415">
        <f t="shared" si="49"/>
        <v>0.3</v>
      </c>
      <c r="V83" s="415"/>
      <c r="W83" s="415">
        <f t="shared" si="49"/>
        <v>15.083640000000001</v>
      </c>
      <c r="X83" s="415">
        <f t="shared" si="49"/>
        <v>1.5</v>
      </c>
      <c r="Y83" s="415">
        <f t="shared" si="49"/>
        <v>11.6028</v>
      </c>
      <c r="Z83" s="415">
        <f t="shared" si="49"/>
        <v>0.3</v>
      </c>
      <c r="AB83" s="416"/>
      <c r="AC83" s="136"/>
      <c r="AD83" s="416"/>
      <c r="AE83" s="415">
        <f>SUM(AE77:AE82)</f>
        <v>26.500500000000006</v>
      </c>
      <c r="AF83" s="415">
        <f t="shared" ref="AF83:AH83" si="50">SUM(AF77:AF82)</f>
        <v>13.072500000000002</v>
      </c>
      <c r="AG83" s="415">
        <f t="shared" si="50"/>
        <v>20.385000000000005</v>
      </c>
      <c r="AH83" s="415">
        <f t="shared" si="50"/>
        <v>2.6145000000000005</v>
      </c>
      <c r="AI83" s="415"/>
      <c r="AJ83" s="415">
        <f t="shared" ref="AJ83:AM83" si="51">SUM(AJ77:AJ82)</f>
        <v>26.657510100000003</v>
      </c>
      <c r="AK83" s="415">
        <f t="shared" si="51"/>
        <v>20.916000000000004</v>
      </c>
      <c r="AL83" s="415">
        <f t="shared" si="51"/>
        <v>20.505777000000002</v>
      </c>
      <c r="AM83" s="415">
        <f t="shared" si="51"/>
        <v>7.8435000000000006</v>
      </c>
      <c r="AN83" s="415"/>
      <c r="AO83" s="415">
        <f t="shared" ref="AO83:AR83" si="52">SUM(AO77:AO82)</f>
        <v>27.632510100000001</v>
      </c>
      <c r="AP83" s="415">
        <f t="shared" si="52"/>
        <v>20.916000000000004</v>
      </c>
      <c r="AQ83" s="415">
        <f t="shared" si="52"/>
        <v>21.255777000000002</v>
      </c>
      <c r="AR83" s="415">
        <f t="shared" si="52"/>
        <v>7.8435000000000006</v>
      </c>
      <c r="AS83" s="415"/>
      <c r="AT83" s="415">
        <f t="shared" ref="AT83:AW83" si="53">SUM(AT77:AT82)</f>
        <v>27.632510100000001</v>
      </c>
      <c r="AU83" s="415">
        <f t="shared" si="53"/>
        <v>20.916000000000004</v>
      </c>
      <c r="AV83" s="415">
        <f t="shared" si="53"/>
        <v>21.255777000000002</v>
      </c>
      <c r="AW83" s="415">
        <f t="shared" si="53"/>
        <v>7.8435000000000006</v>
      </c>
      <c r="AX83" s="415"/>
      <c r="AY83" s="415">
        <f t="shared" ref="AY83:BB83" si="54">SUM(AY77:AY82)</f>
        <v>27.632510100000001</v>
      </c>
      <c r="AZ83" s="415">
        <f t="shared" si="54"/>
        <v>20.916000000000004</v>
      </c>
      <c r="BA83" s="415">
        <f t="shared" si="54"/>
        <v>21.255777000000002</v>
      </c>
      <c r="BB83" s="415">
        <f t="shared" si="54"/>
        <v>7.8435000000000006</v>
      </c>
    </row>
    <row r="84" spans="1:54" x14ac:dyDescent="0.25">
      <c r="B84" s="416"/>
      <c r="C84" s="612">
        <f>C83+D83</f>
        <v>11.407500000000001</v>
      </c>
      <c r="D84" s="612"/>
      <c r="E84" s="612">
        <f>E83+F83</f>
        <v>8.0250000000000004</v>
      </c>
      <c r="F84" s="612"/>
      <c r="G84" s="416"/>
      <c r="H84" s="612">
        <f>H83+I83</f>
        <v>26.348400000000002</v>
      </c>
      <c r="I84" s="612"/>
      <c r="J84" s="612">
        <f>J83+K83</f>
        <v>17.387999999999998</v>
      </c>
      <c r="K84" s="612"/>
      <c r="L84" s="416"/>
      <c r="M84" s="612">
        <f>M83+N83</f>
        <v>27.323400000000003</v>
      </c>
      <c r="N84" s="612"/>
      <c r="O84" s="612">
        <f>O83+P83</f>
        <v>18.137999999999998</v>
      </c>
      <c r="P84" s="612"/>
      <c r="Q84" s="416"/>
      <c r="R84" s="612">
        <f>R83+S83</f>
        <v>16.583640000000003</v>
      </c>
      <c r="S84" s="612"/>
      <c r="T84" s="612">
        <f>T83+U83</f>
        <v>11.902800000000001</v>
      </c>
      <c r="U84" s="612"/>
      <c r="V84" s="416"/>
      <c r="W84" s="612">
        <f>W83+X83</f>
        <v>16.583640000000003</v>
      </c>
      <c r="X84" s="612"/>
      <c r="Y84" s="612">
        <f>Y83+Z83</f>
        <v>11.902800000000001</v>
      </c>
      <c r="Z84" s="612"/>
      <c r="AB84" s="416"/>
      <c r="AC84"/>
      <c r="AD84" s="416"/>
      <c r="AE84" s="612">
        <f>AE83+AF83</f>
        <v>39.573000000000008</v>
      </c>
      <c r="AF84" s="612"/>
      <c r="AG84" s="612">
        <f>AG83+AH83</f>
        <v>22.999500000000005</v>
      </c>
      <c r="AH84" s="612"/>
      <c r="AI84" s="416"/>
      <c r="AJ84" s="612">
        <f>AJ83+AK83</f>
        <v>47.573510100000007</v>
      </c>
      <c r="AK84" s="612"/>
      <c r="AL84" s="612">
        <f>AL83+AM83</f>
        <v>28.349277000000001</v>
      </c>
      <c r="AM84" s="612"/>
      <c r="AN84" s="416"/>
      <c r="AO84" s="612">
        <f>AO83+AP83</f>
        <v>48.548510100000001</v>
      </c>
      <c r="AP84" s="612"/>
      <c r="AQ84" s="612">
        <f>AQ83+AR83</f>
        <v>29.099277000000001</v>
      </c>
      <c r="AR84" s="612"/>
      <c r="AS84" s="416"/>
      <c r="AT84" s="612">
        <f>AT83+AU83</f>
        <v>48.548510100000001</v>
      </c>
      <c r="AU84" s="612"/>
      <c r="AV84" s="612">
        <f>AV83+AW83</f>
        <v>29.099277000000001</v>
      </c>
      <c r="AW84" s="612"/>
      <c r="AX84" s="416"/>
      <c r="AY84" s="612">
        <f>AY83+AZ83</f>
        <v>48.548510100000001</v>
      </c>
      <c r="AZ84" s="612"/>
      <c r="BA84" s="612">
        <f>BA83+BB83</f>
        <v>29.099277000000001</v>
      </c>
      <c r="BB84" s="612"/>
    </row>
    <row r="85" spans="1:54" x14ac:dyDescent="0.25">
      <c r="B85" s="416"/>
      <c r="G85" s="416"/>
      <c r="L85" s="416"/>
      <c r="Q85" s="416"/>
      <c r="V85" s="416"/>
      <c r="AB85" s="416"/>
      <c r="AC85" s="416"/>
      <c r="AD85" s="416"/>
      <c r="AE85" s="416"/>
      <c r="AF85" s="416"/>
      <c r="AG85" s="416"/>
      <c r="AH85" s="416"/>
      <c r="AI85" s="416"/>
      <c r="AJ85" s="416"/>
      <c r="AK85" s="416"/>
      <c r="AL85" s="416"/>
      <c r="AM85" s="416"/>
      <c r="AN85" s="416"/>
      <c r="AO85" s="416"/>
      <c r="AP85" s="416"/>
      <c r="AQ85" s="416"/>
      <c r="AR85" s="416"/>
      <c r="AS85" s="416"/>
      <c r="AT85" s="416"/>
      <c r="AU85" s="416"/>
      <c r="AV85" s="416"/>
      <c r="AW85" s="416"/>
    </row>
    <row r="86" spans="1:54" x14ac:dyDescent="0.25">
      <c r="A86" s="419" t="s">
        <v>408</v>
      </c>
      <c r="B86" s="416"/>
      <c r="G86" s="416"/>
      <c r="L86" s="416"/>
      <c r="Q86" s="416"/>
      <c r="V86" s="416"/>
      <c r="AB86" s="416"/>
      <c r="AC86" s="416"/>
      <c r="AD86" s="416"/>
      <c r="AE86" s="416"/>
      <c r="AF86" s="416"/>
      <c r="AG86" s="416"/>
      <c r="AH86" s="416"/>
      <c r="AI86" s="416"/>
      <c r="AJ86" s="416"/>
      <c r="AK86" s="416"/>
      <c r="AL86" s="416"/>
      <c r="AM86" s="416"/>
      <c r="AN86" s="416"/>
      <c r="AO86" s="416"/>
      <c r="AP86" s="416"/>
      <c r="AQ86" s="416"/>
      <c r="AR86" s="416"/>
      <c r="AS86" s="416"/>
      <c r="AT86" s="416"/>
      <c r="AU86" s="416"/>
      <c r="AV86" s="416"/>
      <c r="AW86" s="416"/>
    </row>
    <row r="87" spans="1:54" x14ac:dyDescent="0.25">
      <c r="A87" s="403" t="s">
        <v>393</v>
      </c>
      <c r="B87" s="416"/>
      <c r="C87" t="s">
        <v>399</v>
      </c>
      <c r="G87" s="416"/>
      <c r="H87" t="s">
        <v>400</v>
      </c>
      <c r="L87" s="416"/>
      <c r="M87" t="s">
        <v>401</v>
      </c>
      <c r="Q87" s="416"/>
      <c r="R87" t="s">
        <v>232</v>
      </c>
      <c r="V87" s="416"/>
      <c r="W87" t="s">
        <v>402</v>
      </c>
      <c r="AB87" s="416"/>
      <c r="AC87" s="403" t="s">
        <v>393</v>
      </c>
      <c r="AD87" s="416"/>
      <c r="AE87" t="s">
        <v>399</v>
      </c>
      <c r="AF87"/>
      <c r="AG87"/>
      <c r="AH87"/>
      <c r="AI87" s="416"/>
      <c r="AJ87" t="s">
        <v>400</v>
      </c>
      <c r="AK87"/>
      <c r="AL87"/>
      <c r="AM87"/>
      <c r="AN87" s="416"/>
      <c r="AO87" t="s">
        <v>401</v>
      </c>
      <c r="AP87"/>
      <c r="AQ87"/>
      <c r="AR87"/>
      <c r="AS87" s="416"/>
      <c r="AT87" t="s">
        <v>232</v>
      </c>
      <c r="AU87"/>
      <c r="AV87"/>
      <c r="AW87"/>
      <c r="AX87" s="416"/>
      <c r="AY87" t="s">
        <v>402</v>
      </c>
    </row>
    <row r="88" spans="1:54" x14ac:dyDescent="0.25">
      <c r="A88" s="404" t="s">
        <v>414</v>
      </c>
      <c r="B88" s="416"/>
      <c r="G88" s="416"/>
      <c r="L88" s="416"/>
      <c r="Q88" s="416"/>
      <c r="V88" s="416"/>
      <c r="AB88" s="416"/>
      <c r="AC88" s="404" t="s">
        <v>437</v>
      </c>
      <c r="AD88" s="416"/>
      <c r="AE88"/>
      <c r="AF88"/>
      <c r="AG88"/>
      <c r="AH88"/>
      <c r="AI88" s="416"/>
      <c r="AJ88"/>
      <c r="AK88"/>
      <c r="AL88"/>
      <c r="AM88"/>
      <c r="AN88" s="416"/>
      <c r="AO88"/>
      <c r="AP88"/>
      <c r="AQ88"/>
      <c r="AR88"/>
      <c r="AS88" s="416"/>
      <c r="AT88"/>
      <c r="AU88"/>
      <c r="AV88"/>
      <c r="AW88"/>
      <c r="AX88" s="416"/>
    </row>
    <row r="89" spans="1:54" x14ac:dyDescent="0.25">
      <c r="A89" s="136"/>
      <c r="B89" s="416"/>
      <c r="C89" s="416" t="s">
        <v>386</v>
      </c>
      <c r="D89" s="416" t="s">
        <v>396</v>
      </c>
      <c r="E89" s="416" t="s">
        <v>288</v>
      </c>
      <c r="F89" s="411" t="s">
        <v>406</v>
      </c>
      <c r="G89" s="412"/>
      <c r="H89" s="416" t="s">
        <v>386</v>
      </c>
      <c r="I89" s="416" t="s">
        <v>396</v>
      </c>
      <c r="J89" s="416" t="s">
        <v>288</v>
      </c>
      <c r="K89" s="411" t="s">
        <v>407</v>
      </c>
      <c r="L89" s="412"/>
      <c r="M89" s="416" t="s">
        <v>386</v>
      </c>
      <c r="N89" s="416" t="s">
        <v>396</v>
      </c>
      <c r="O89" s="416" t="s">
        <v>288</v>
      </c>
      <c r="P89" s="411" t="s">
        <v>407</v>
      </c>
      <c r="Q89" s="306"/>
      <c r="R89" s="416" t="s">
        <v>386</v>
      </c>
      <c r="S89" s="416" t="s">
        <v>396</v>
      </c>
      <c r="T89" s="416" t="s">
        <v>288</v>
      </c>
      <c r="U89" s="411" t="s">
        <v>407</v>
      </c>
      <c r="V89" s="306"/>
      <c r="W89" s="416" t="s">
        <v>386</v>
      </c>
      <c r="X89" s="416" t="s">
        <v>396</v>
      </c>
      <c r="Y89" s="416" t="s">
        <v>288</v>
      </c>
      <c r="Z89" s="411" t="s">
        <v>407</v>
      </c>
      <c r="AB89" s="416"/>
      <c r="AC89" s="136"/>
      <c r="AD89" s="416"/>
      <c r="AE89" s="416" t="s">
        <v>386</v>
      </c>
      <c r="AF89" s="416" t="s">
        <v>396</v>
      </c>
      <c r="AG89" s="416" t="s">
        <v>288</v>
      </c>
      <c r="AH89" s="411" t="s">
        <v>406</v>
      </c>
      <c r="AI89" s="412"/>
      <c r="AJ89" s="416" t="s">
        <v>386</v>
      </c>
      <c r="AK89" s="416" t="s">
        <v>396</v>
      </c>
      <c r="AL89" s="416" t="s">
        <v>288</v>
      </c>
      <c r="AM89" s="411" t="s">
        <v>407</v>
      </c>
      <c r="AN89" s="412"/>
      <c r="AO89" s="416" t="s">
        <v>386</v>
      </c>
      <c r="AP89" s="416" t="s">
        <v>396</v>
      </c>
      <c r="AQ89" s="416" t="s">
        <v>288</v>
      </c>
      <c r="AR89" s="411" t="s">
        <v>407</v>
      </c>
      <c r="AS89" s="306"/>
      <c r="AT89" s="416" t="s">
        <v>386</v>
      </c>
      <c r="AU89" s="416" t="s">
        <v>396</v>
      </c>
      <c r="AV89" s="416" t="s">
        <v>288</v>
      </c>
      <c r="AW89" s="411" t="s">
        <v>407</v>
      </c>
      <c r="AX89" s="306"/>
      <c r="AY89" s="416" t="s">
        <v>386</v>
      </c>
      <c r="AZ89" s="416" t="s">
        <v>396</v>
      </c>
      <c r="BA89" s="416" t="s">
        <v>288</v>
      </c>
      <c r="BB89" s="411" t="s">
        <v>407</v>
      </c>
    </row>
    <row r="90" spans="1:54" x14ac:dyDescent="0.25">
      <c r="A90" s="136" t="s">
        <v>312</v>
      </c>
      <c r="B90" s="416">
        <v>1</v>
      </c>
      <c r="C90" s="415">
        <f>IF(B90="","",B90*'Tabella Carichi Unitari'!$G$8)</f>
        <v>5.2</v>
      </c>
      <c r="D90" s="415">
        <f>IF(B90="","",B90*'Tabella Carichi Unitari'!$H$8)</f>
        <v>3</v>
      </c>
      <c r="E90" s="415">
        <f>IF(B90="","",B90*'Tabella Carichi Unitari'!$C$8)</f>
        <v>4</v>
      </c>
      <c r="F90" s="109">
        <f>IF(B90="","",B90*'Tabella Carichi Unitari'!$K$8)</f>
        <v>0.6</v>
      </c>
      <c r="G90" s="416">
        <v>1</v>
      </c>
      <c r="H90" s="415">
        <f>IF(G90="","",G90*'Tabella Carichi Unitari'!$G$7)</f>
        <v>5.0122799999999996</v>
      </c>
      <c r="I90" s="415">
        <f>IF(G90="","",G90*'Tabella Carichi Unitari'!$H$7)</f>
        <v>4.8</v>
      </c>
      <c r="J90" s="415">
        <f>IF(G90="","",G90*'Tabella Carichi Unitari'!$C$7)</f>
        <v>3.8555999999999995</v>
      </c>
      <c r="K90" s="109">
        <f>IF(G90="","",G90*'Tabella Carichi Unitari'!$K$7)</f>
        <v>1.7999999999999998</v>
      </c>
      <c r="L90" s="416">
        <v>1</v>
      </c>
      <c r="M90" s="415">
        <f>IF(L90="","",L90*'Tabella Carichi Unitari'!$G$7)</f>
        <v>5.0122799999999996</v>
      </c>
      <c r="N90" s="415">
        <f>IF(L90="","",L90*'Tabella Carichi Unitari'!$H$7)</f>
        <v>4.8</v>
      </c>
      <c r="O90" s="415">
        <f>IF(L90="","",L90*'Tabella Carichi Unitari'!$C$7)</f>
        <v>3.8555999999999995</v>
      </c>
      <c r="P90" s="109">
        <f>IF(L90="","",L90*'Tabella Carichi Unitari'!$K$7)</f>
        <v>1.7999999999999998</v>
      </c>
      <c r="Q90" s="416">
        <v>1</v>
      </c>
      <c r="R90" s="415">
        <f>IF(Q90="","",Q90*'Tabella Carichi Unitari'!$G$7)</f>
        <v>5.0122799999999996</v>
      </c>
      <c r="S90" s="415">
        <f>IF(Q90="","",Q90*'Tabella Carichi Unitari'!$H$7)</f>
        <v>4.8</v>
      </c>
      <c r="T90" s="415">
        <f>IF(Q90="","",Q90*'Tabella Carichi Unitari'!$C$7)</f>
        <v>3.8555999999999995</v>
      </c>
      <c r="U90" s="109">
        <f>IF(Q90="","",Q90*'Tabella Carichi Unitari'!$K$7)</f>
        <v>1.7999999999999998</v>
      </c>
      <c r="V90" s="416">
        <v>1</v>
      </c>
      <c r="W90" s="415">
        <f>IF(V90="","",V90*'Tabella Carichi Unitari'!$G$7)</f>
        <v>5.0122799999999996</v>
      </c>
      <c r="X90" s="415">
        <f>IF(V90="","",V90*'Tabella Carichi Unitari'!$H$7)</f>
        <v>4.8</v>
      </c>
      <c r="Y90" s="415">
        <f>IF(V90="","",V90*'Tabella Carichi Unitari'!$C$7)</f>
        <v>3.8555999999999995</v>
      </c>
      <c r="Z90" s="109">
        <f>IF(V90="","",V90*'Tabella Carichi Unitari'!$K$7)</f>
        <v>1.7999999999999998</v>
      </c>
      <c r="AB90" s="416"/>
      <c r="AC90" s="136" t="s">
        <v>312</v>
      </c>
      <c r="AD90" s="415">
        <f>((3.5/2)+(4.8/2))*1.1</f>
        <v>4.5650000000000004</v>
      </c>
      <c r="AE90" s="415">
        <f>IF(AD90="","",AD90*'Tabella Carichi Unitari'!$G$8)</f>
        <v>23.738000000000003</v>
      </c>
      <c r="AF90" s="415">
        <f>IF(AD90="","",AD90*'Tabella Carichi Unitari'!$H$8)</f>
        <v>13.695</v>
      </c>
      <c r="AG90" s="415">
        <f>IF(AD90="","",AD90*'Tabella Carichi Unitari'!$C$8)</f>
        <v>18.260000000000002</v>
      </c>
      <c r="AH90" s="109">
        <f>IF(AD90="","",AD90*'Tabella Carichi Unitari'!$K$8)</f>
        <v>2.7390000000000003</v>
      </c>
      <c r="AI90" s="415">
        <f>AD90</f>
        <v>4.5650000000000004</v>
      </c>
      <c r="AJ90" s="415">
        <f>IF(AI90="","",AI90*'Tabella Carichi Unitari'!$G$7)</f>
        <v>22.881058200000002</v>
      </c>
      <c r="AK90" s="415">
        <f>IF(AI90="","",AI90*'Tabella Carichi Unitari'!$H$7)</f>
        <v>21.912000000000003</v>
      </c>
      <c r="AL90" s="415">
        <f>IF(AI90="","",AI90*'Tabella Carichi Unitari'!$C$7)</f>
        <v>17.600814</v>
      </c>
      <c r="AM90" s="109">
        <f>IF(AI90="","",AI90*'Tabella Carichi Unitari'!$K$7)</f>
        <v>8.2170000000000005</v>
      </c>
      <c r="AN90" s="415">
        <f>AD90</f>
        <v>4.5650000000000004</v>
      </c>
      <c r="AO90" s="415">
        <f>IF(AN90="","",AN90*'Tabella Carichi Unitari'!$G$7)</f>
        <v>22.881058200000002</v>
      </c>
      <c r="AP90" s="415">
        <f>IF(AN90="","",AN90*'Tabella Carichi Unitari'!$H$7)</f>
        <v>21.912000000000003</v>
      </c>
      <c r="AQ90" s="415">
        <f>IF(AN90="","",AN90*'Tabella Carichi Unitari'!$C$7)</f>
        <v>17.600814</v>
      </c>
      <c r="AR90" s="109">
        <f>IF(AN90="","",AN90*'Tabella Carichi Unitari'!$K$7)</f>
        <v>8.2170000000000005</v>
      </c>
      <c r="AS90" s="415">
        <f>AD90</f>
        <v>4.5650000000000004</v>
      </c>
      <c r="AT90" s="415">
        <f>IF(AS90="","",AS90*'Tabella Carichi Unitari'!$G$7)</f>
        <v>22.881058200000002</v>
      </c>
      <c r="AU90" s="415">
        <f>IF(AS90="","",AS90*'Tabella Carichi Unitari'!$H$7)</f>
        <v>21.912000000000003</v>
      </c>
      <c r="AV90" s="415">
        <f>IF(AS90="","",AS90*'Tabella Carichi Unitari'!$C$7)</f>
        <v>17.600814</v>
      </c>
      <c r="AW90" s="109">
        <f>IF(AS90="","",AS90*'Tabella Carichi Unitari'!$K$7)</f>
        <v>8.2170000000000005</v>
      </c>
      <c r="AX90" s="415">
        <f>AD90</f>
        <v>4.5650000000000004</v>
      </c>
      <c r="AY90" s="415">
        <f>IF(AX90="","",AX90*'Tabella Carichi Unitari'!$G$7)</f>
        <v>22.881058200000002</v>
      </c>
      <c r="AZ90" s="415">
        <f>IF(AX90="","",AX90*'Tabella Carichi Unitari'!$H$7)</f>
        <v>21.912000000000003</v>
      </c>
      <c r="BA90" s="415">
        <f>IF(AX90="","",AX90*'Tabella Carichi Unitari'!$C$7)</f>
        <v>17.600814</v>
      </c>
      <c r="BB90" s="109">
        <f>IF(AX90="","",AX90*'Tabella Carichi Unitari'!$K$7)</f>
        <v>8.2170000000000005</v>
      </c>
    </row>
    <row r="91" spans="1:54" x14ac:dyDescent="0.25">
      <c r="A91" s="136" t="s">
        <v>314</v>
      </c>
      <c r="B91" s="416"/>
      <c r="C91" s="415" t="str">
        <f>IF(B91="","",B91*'Tabella Carichi Unitari'!$G$11)</f>
        <v/>
      </c>
      <c r="D91" s="415" t="str">
        <f>IF(B91="","",B91*'Tabella Carichi Unitari'!$H$11)</f>
        <v/>
      </c>
      <c r="E91" s="415" t="str">
        <f>IF(B91="","",B91*'Tabella Carichi Unitari'!$C$11)</f>
        <v/>
      </c>
      <c r="F91" s="109" t="str">
        <f>IF(B91="","",B91*'Tabella Carichi Unitari'!$K$11)</f>
        <v/>
      </c>
      <c r="G91" s="416"/>
      <c r="H91" s="415" t="str">
        <f>IF(G91="","",G91*'Tabella Carichi Unitari'!$G$10)</f>
        <v/>
      </c>
      <c r="I91" s="415" t="str">
        <f>IF(G91="","",G91*'Tabella Carichi Unitari'!$H$10)</f>
        <v/>
      </c>
      <c r="J91" s="415" t="str">
        <f>IF(G91="","",G91*'Tabella Carichi Unitari'!$C$10)</f>
        <v/>
      </c>
      <c r="K91" s="109" t="str">
        <f>IF(G91="","",G91*'Tabella Carichi Unitari'!$K$10)</f>
        <v/>
      </c>
      <c r="L91" s="416"/>
      <c r="M91" s="415" t="str">
        <f>IF(L91="","",L91*'Tabella Carichi Unitari'!$G$10)</f>
        <v/>
      </c>
      <c r="N91" s="415" t="str">
        <f>IF(L91="","",L91*'Tabella Carichi Unitari'!$H$10)</f>
        <v/>
      </c>
      <c r="O91" s="415" t="str">
        <f>IF(L91="","",L91*'Tabella Carichi Unitari'!$C$10)</f>
        <v/>
      </c>
      <c r="P91" s="109" t="str">
        <f>IF(L91="","",L91*'Tabella Carichi Unitari'!$K$10)</f>
        <v/>
      </c>
      <c r="Q91" s="416"/>
      <c r="R91" s="415" t="str">
        <f>IF(Q91="","",Q91*'Tabella Carichi Unitari'!$G$10)</f>
        <v/>
      </c>
      <c r="S91" s="415" t="str">
        <f>IF(Q91="","",Q91*'Tabella Carichi Unitari'!$H$10)</f>
        <v/>
      </c>
      <c r="T91" s="415" t="str">
        <f>IF(Q91="","",Q91*'Tabella Carichi Unitari'!$C$10)</f>
        <v/>
      </c>
      <c r="U91" s="109" t="str">
        <f>IF(Q91="","",Q91*'Tabella Carichi Unitari'!$K$10)</f>
        <v/>
      </c>
      <c r="V91" s="416"/>
      <c r="W91" s="415" t="str">
        <f>IF(V91="","",V91*'Tabella Carichi Unitari'!$G$10)</f>
        <v/>
      </c>
      <c r="X91" s="415" t="str">
        <f>IF(V91="","",V91*'Tabella Carichi Unitari'!$H$10)</f>
        <v/>
      </c>
      <c r="Y91" s="415" t="str">
        <f>IF(V91="","",V91*'Tabella Carichi Unitari'!$C$10)</f>
        <v/>
      </c>
      <c r="Z91" s="109" t="str">
        <f>IF(V91="","",V91*'Tabella Carichi Unitari'!$K$10)</f>
        <v/>
      </c>
      <c r="AB91" s="416"/>
      <c r="AC91" s="136" t="s">
        <v>314</v>
      </c>
      <c r="AD91" s="416"/>
      <c r="AE91" s="415" t="str">
        <f>IF(AD91="","",AD91*'Tabella Carichi Unitari'!$G$11)</f>
        <v/>
      </c>
      <c r="AF91" s="415" t="str">
        <f>IF(AD91="","",AD91*'Tabella Carichi Unitari'!$H$11)</f>
        <v/>
      </c>
      <c r="AG91" s="415" t="str">
        <f>IF(AD91="","",AD91*'Tabella Carichi Unitari'!$C$11)</f>
        <v/>
      </c>
      <c r="AH91" s="109" t="str">
        <f>IF(AD91="","",AD91*'Tabella Carichi Unitari'!$K$11)</f>
        <v/>
      </c>
      <c r="AI91" s="416"/>
      <c r="AJ91" s="415" t="str">
        <f>IF(AI91="","",AI91*'Tabella Carichi Unitari'!$G$10)</f>
        <v/>
      </c>
      <c r="AK91" s="415" t="str">
        <f>IF(AI91="","",AI91*'Tabella Carichi Unitari'!$H$10)</f>
        <v/>
      </c>
      <c r="AL91" s="415" t="str">
        <f>IF(AI91="","",AI91*'Tabella Carichi Unitari'!$C$10)</f>
        <v/>
      </c>
      <c r="AM91" s="109" t="str">
        <f>IF(AI91="","",AI91*'Tabella Carichi Unitari'!$K$10)</f>
        <v/>
      </c>
      <c r="AN91" s="416"/>
      <c r="AO91" s="415" t="str">
        <f>IF(AN91="","",AN91*'Tabella Carichi Unitari'!$G$10)</f>
        <v/>
      </c>
      <c r="AP91" s="415" t="str">
        <f>IF(AN91="","",AN91*'Tabella Carichi Unitari'!$H$10)</f>
        <v/>
      </c>
      <c r="AQ91" s="415" t="str">
        <f>IF(AN91="","",AN91*'Tabella Carichi Unitari'!$C$10)</f>
        <v/>
      </c>
      <c r="AR91" s="109" t="str">
        <f>IF(AN91="","",AN91*'Tabella Carichi Unitari'!$K$10)</f>
        <v/>
      </c>
      <c r="AS91" s="416"/>
      <c r="AT91" s="415" t="str">
        <f>IF(AS91="","",AS91*'Tabella Carichi Unitari'!$G$10)</f>
        <v/>
      </c>
      <c r="AU91" s="415" t="str">
        <f>IF(AS91="","",AS91*'Tabella Carichi Unitari'!$H$10)</f>
        <v/>
      </c>
      <c r="AV91" s="415" t="str">
        <f>IF(AS91="","",AS91*'Tabella Carichi Unitari'!$C$10)</f>
        <v/>
      </c>
      <c r="AW91" s="109" t="str">
        <f>IF(AS91="","",AS91*'Tabella Carichi Unitari'!$K$10)</f>
        <v/>
      </c>
      <c r="AX91" s="416"/>
      <c r="AY91" s="415" t="str">
        <f>IF(AX91="","",AX91*'Tabella Carichi Unitari'!$G$10)</f>
        <v/>
      </c>
      <c r="AZ91" s="415" t="str">
        <f>IF(AX91="","",AX91*'Tabella Carichi Unitari'!$H$10)</f>
        <v/>
      </c>
      <c r="BA91" s="415" t="str">
        <f>IF(AX91="","",AX91*'Tabella Carichi Unitari'!$C$10)</f>
        <v/>
      </c>
      <c r="BB91" s="109" t="str">
        <f>IF(AX91="","",AX91*'Tabella Carichi Unitari'!$K$10)</f>
        <v/>
      </c>
    </row>
    <row r="92" spans="1:54" x14ac:dyDescent="0.25">
      <c r="A92" s="136" t="s">
        <v>315</v>
      </c>
      <c r="B92" s="416"/>
      <c r="C92" s="415" t="str">
        <f>IF(B92="","",B92*'Tabella Carichi Unitari'!$G$12)</f>
        <v/>
      </c>
      <c r="D92" s="415" t="str">
        <f>IF(B92="","",B92*'Tabella Carichi Unitari'!$H$12)</f>
        <v/>
      </c>
      <c r="E92" s="415" t="str">
        <f>IF(B92="","",B92*'Tabella Carichi Unitari'!$C$12)</f>
        <v/>
      </c>
      <c r="F92" s="109" t="str">
        <f>IF(B92="","",B92*'Tabella Carichi Unitari'!$K$12)</f>
        <v/>
      </c>
      <c r="G92" s="416"/>
      <c r="H92" s="415" t="str">
        <f>IF(G92="","",G92*'Tabella Carichi Unitari'!$G$12)</f>
        <v/>
      </c>
      <c r="I92" s="415" t="str">
        <f>IF(G92="","",G92*'Tabella Carichi Unitari'!$H$12)</f>
        <v/>
      </c>
      <c r="J92" s="415" t="str">
        <f>IF(G92="","",G92*'Tabella Carichi Unitari'!$C$12)</f>
        <v/>
      </c>
      <c r="K92" s="109" t="str">
        <f>IF(G92="","",G92*'Tabella Carichi Unitari'!$K$12)</f>
        <v/>
      </c>
      <c r="L92" s="416"/>
      <c r="M92" s="415" t="str">
        <f>IF(L92="","",L92*'Tabella Carichi Unitari'!$G$12)</f>
        <v/>
      </c>
      <c r="N92" s="415" t="str">
        <f>IF(L92="","",L92*'Tabella Carichi Unitari'!$H$12)</f>
        <v/>
      </c>
      <c r="O92" s="415" t="str">
        <f>IF(L92="","",L92*'Tabella Carichi Unitari'!$C$12)</f>
        <v/>
      </c>
      <c r="P92" s="109" t="str">
        <f>IF(L92="","",L92*'Tabella Carichi Unitari'!$K$12)</f>
        <v/>
      </c>
      <c r="Q92" s="416"/>
      <c r="R92" s="415" t="str">
        <f>IF(Q92="","",Q92*'Tabella Carichi Unitari'!$G$12)</f>
        <v/>
      </c>
      <c r="S92" s="415" t="str">
        <f>IF(Q92="","",Q92*'Tabella Carichi Unitari'!$H$12)</f>
        <v/>
      </c>
      <c r="T92" s="415" t="str">
        <f>IF(Q92="","",Q92*'Tabella Carichi Unitari'!$C$12)</f>
        <v/>
      </c>
      <c r="U92" s="109" t="str">
        <f>IF(Q92="","",Q92*'Tabella Carichi Unitari'!$K$12)</f>
        <v/>
      </c>
      <c r="V92" s="416"/>
      <c r="W92" s="415" t="str">
        <f>IF(V92="","",V92*'Tabella Carichi Unitari'!$G$12)</f>
        <v/>
      </c>
      <c r="X92" s="415" t="str">
        <f>IF(V92="","",V92*'Tabella Carichi Unitari'!$H$12)</f>
        <v/>
      </c>
      <c r="Y92" s="415" t="str">
        <f>IF(V92="","",V92*'Tabella Carichi Unitari'!$C$12)</f>
        <v/>
      </c>
      <c r="Z92" s="109" t="str">
        <f>IF(V92="","",V92*'Tabella Carichi Unitari'!$K$12)</f>
        <v/>
      </c>
      <c r="AB92" s="416"/>
      <c r="AC92" s="136" t="s">
        <v>315</v>
      </c>
      <c r="AD92" s="416"/>
      <c r="AE92" s="415" t="str">
        <f>IF(AD92="","",AD92*'Tabella Carichi Unitari'!$G$12)</f>
        <v/>
      </c>
      <c r="AF92" s="415" t="str">
        <f>IF(AD92="","",AD92*'Tabella Carichi Unitari'!$H$12)</f>
        <v/>
      </c>
      <c r="AG92" s="415" t="str">
        <f>IF(AD92="","",AD92*'Tabella Carichi Unitari'!$C$12)</f>
        <v/>
      </c>
      <c r="AH92" s="109" t="str">
        <f>IF(AD92="","",AD92*'Tabella Carichi Unitari'!$K$12)</f>
        <v/>
      </c>
      <c r="AI92" s="416"/>
      <c r="AJ92" s="415" t="str">
        <f>IF(AI92="","",AI92*'Tabella Carichi Unitari'!$G$12)</f>
        <v/>
      </c>
      <c r="AK92" s="415" t="str">
        <f>IF(AI92="","",AI92*'Tabella Carichi Unitari'!$H$12)</f>
        <v/>
      </c>
      <c r="AL92" s="415" t="str">
        <f>IF(AI92="","",AI92*'Tabella Carichi Unitari'!$C$12)</f>
        <v/>
      </c>
      <c r="AM92" s="109" t="str">
        <f>IF(AI92="","",AI92*'Tabella Carichi Unitari'!$K$12)</f>
        <v/>
      </c>
      <c r="AN92" s="416"/>
      <c r="AO92" s="415" t="str">
        <f>IF(AN92="","",AN92*'Tabella Carichi Unitari'!$G$12)</f>
        <v/>
      </c>
      <c r="AP92" s="415" t="str">
        <f>IF(AN92="","",AN92*'Tabella Carichi Unitari'!$H$12)</f>
        <v/>
      </c>
      <c r="AQ92" s="415" t="str">
        <f>IF(AN92="","",AN92*'Tabella Carichi Unitari'!$C$12)</f>
        <v/>
      </c>
      <c r="AR92" s="109" t="str">
        <f>IF(AN92="","",AN92*'Tabella Carichi Unitari'!$K$12)</f>
        <v/>
      </c>
      <c r="AS92" s="416"/>
      <c r="AT92" s="415" t="str">
        <f>IF(AS92="","",AS92*'Tabella Carichi Unitari'!$G$12)</f>
        <v/>
      </c>
      <c r="AU92" s="415" t="str">
        <f>IF(AS92="","",AS92*'Tabella Carichi Unitari'!$H$12)</f>
        <v/>
      </c>
      <c r="AV92" s="415" t="str">
        <f>IF(AS92="","",AS92*'Tabella Carichi Unitari'!$C$12)</f>
        <v/>
      </c>
      <c r="AW92" s="109" t="str">
        <f>IF(AS92="","",AS92*'Tabella Carichi Unitari'!$K$12)</f>
        <v/>
      </c>
      <c r="AX92" s="416"/>
      <c r="AY92" s="415" t="str">
        <f>IF(AX92="","",AX92*'Tabella Carichi Unitari'!$G$12)</f>
        <v/>
      </c>
      <c r="AZ92" s="415" t="str">
        <f>IF(AX92="","",AX92*'Tabella Carichi Unitari'!$H$12)</f>
        <v/>
      </c>
      <c r="BA92" s="415" t="str">
        <f>IF(AX92="","",AX92*'Tabella Carichi Unitari'!$C$12)</f>
        <v/>
      </c>
      <c r="BB92" s="109" t="str">
        <f>IF(AX92="","",AX92*'Tabella Carichi Unitari'!$K$12)</f>
        <v/>
      </c>
    </row>
    <row r="93" spans="1:54" x14ac:dyDescent="0.25">
      <c r="A93" s="136" t="s">
        <v>391</v>
      </c>
      <c r="B93" s="416">
        <v>1</v>
      </c>
      <c r="C93" s="415">
        <f>IF(B93="","",B93*'Tabella Carichi Unitari'!$G$15)</f>
        <v>3.8415000000000004</v>
      </c>
      <c r="D93" s="415">
        <f>IF(B93="","",B93*'Tabella Carichi Unitari'!$H$15)</f>
        <v>0</v>
      </c>
      <c r="E93" s="415">
        <f>IF(B93="","",B93*'Tabella Carichi Unitari'!$C$15)</f>
        <v>2.9550000000000001</v>
      </c>
      <c r="F93" s="109">
        <f>IF(B93="","",B93*'Tabella Carichi Unitari'!$K$15)</f>
        <v>0</v>
      </c>
      <c r="G93" s="416">
        <v>1</v>
      </c>
      <c r="H93" s="415">
        <f>IF(G93="","",G93*'Tabella Carichi Unitari'!$G$14)</f>
        <v>4.8165000000000004</v>
      </c>
      <c r="I93" s="415">
        <f>IF(G93="","",G93*'Tabella Carichi Unitari'!$H$14)</f>
        <v>0</v>
      </c>
      <c r="J93" s="415">
        <f>IF(G93="","",G93*'Tabella Carichi Unitari'!$C$14)</f>
        <v>3.7050000000000001</v>
      </c>
      <c r="K93" s="109">
        <f>IF(G93="","",G93*'Tabella Carichi Unitari'!$K$14)</f>
        <v>0</v>
      </c>
      <c r="L93" s="416">
        <v>1</v>
      </c>
      <c r="M93" s="415">
        <f>IF(L93="","",L93*'Tabella Carichi Unitari'!$G$13)</f>
        <v>5.7915000000000001</v>
      </c>
      <c r="N93" s="415">
        <f>IF(L93="","",L93*'Tabella Carichi Unitari'!$H$13)</f>
        <v>0</v>
      </c>
      <c r="O93" s="415">
        <f>IF(L93="","",L93*'Tabella Carichi Unitari'!$C$13)</f>
        <v>4.4550000000000001</v>
      </c>
      <c r="P93" s="109">
        <f>IF(L93="","",L93*'Tabella Carichi Unitari'!$K$13)</f>
        <v>0</v>
      </c>
      <c r="Q93" s="416">
        <v>1</v>
      </c>
      <c r="R93" s="415">
        <f>IF(Q93="","",Q93*'Tabella Carichi Unitari'!$G$13)</f>
        <v>5.7915000000000001</v>
      </c>
      <c r="S93" s="415">
        <f>IF(Q93="","",Q93*'Tabella Carichi Unitari'!$H$13)</f>
        <v>0</v>
      </c>
      <c r="T93" s="415">
        <f>IF(Q93="","",Q93*'Tabella Carichi Unitari'!$C$13)</f>
        <v>4.4550000000000001</v>
      </c>
      <c r="U93" s="109">
        <f>IF(Q93="","",Q93*'Tabella Carichi Unitari'!$K$13)</f>
        <v>0</v>
      </c>
      <c r="V93" s="416">
        <v>1</v>
      </c>
      <c r="W93" s="415">
        <f>IF(V93="","",V93*'Tabella Carichi Unitari'!$G$13)</f>
        <v>5.7915000000000001</v>
      </c>
      <c r="X93" s="415">
        <f>IF(V93="","",V93*'Tabella Carichi Unitari'!$H$13)</f>
        <v>0</v>
      </c>
      <c r="Y93" s="415">
        <f>IF(V93="","",V93*'Tabella Carichi Unitari'!$C$13)</f>
        <v>4.4550000000000001</v>
      </c>
      <c r="Z93" s="109">
        <f>IF(V93="","",V93*'Tabella Carichi Unitari'!$K$13)</f>
        <v>0</v>
      </c>
      <c r="AB93" s="416"/>
      <c r="AC93" s="136" t="s">
        <v>391</v>
      </c>
      <c r="AD93" s="416">
        <v>1</v>
      </c>
      <c r="AE93" s="415">
        <f>IF(AD93="","",AD93*'Tabella Carichi Unitari'!$G$15)</f>
        <v>3.8415000000000004</v>
      </c>
      <c r="AF93" s="415">
        <f>IF(AD93="","",AD93*'Tabella Carichi Unitari'!$H$15)</f>
        <v>0</v>
      </c>
      <c r="AG93" s="415">
        <f>IF(AD93="","",AD93*'Tabella Carichi Unitari'!$C$15)</f>
        <v>2.9550000000000001</v>
      </c>
      <c r="AH93" s="109">
        <f>IF(AD93="","",AD93*'Tabella Carichi Unitari'!$K$15)</f>
        <v>0</v>
      </c>
      <c r="AI93" s="416">
        <v>1</v>
      </c>
      <c r="AJ93" s="415">
        <f>IF(AI93="","",AI93*'Tabella Carichi Unitari'!$G$14)</f>
        <v>4.8165000000000004</v>
      </c>
      <c r="AK93" s="415">
        <f>IF(AI93="","",AI93*'Tabella Carichi Unitari'!$H$14)</f>
        <v>0</v>
      </c>
      <c r="AL93" s="415">
        <f>IF(AI93="","",AI93*'Tabella Carichi Unitari'!$C$14)</f>
        <v>3.7050000000000001</v>
      </c>
      <c r="AM93" s="109">
        <f>IF(AI93="","",AI93*'Tabella Carichi Unitari'!$K$14)</f>
        <v>0</v>
      </c>
      <c r="AN93" s="416">
        <v>1</v>
      </c>
      <c r="AO93" s="415">
        <f>IF(AN93="","",AN93*'Tabella Carichi Unitari'!$G$13)</f>
        <v>5.7915000000000001</v>
      </c>
      <c r="AP93" s="415">
        <f>IF(AN93="","",AN93*'Tabella Carichi Unitari'!$H$13)</f>
        <v>0</v>
      </c>
      <c r="AQ93" s="415">
        <f>IF(AN93="","",AN93*'Tabella Carichi Unitari'!$C$13)</f>
        <v>4.4550000000000001</v>
      </c>
      <c r="AR93" s="109">
        <f>IF(AN93="","",AN93*'Tabella Carichi Unitari'!$K$13)</f>
        <v>0</v>
      </c>
      <c r="AS93" s="416">
        <v>1</v>
      </c>
      <c r="AT93" s="415">
        <f>IF(AS93="","",AS93*'Tabella Carichi Unitari'!$G$13)</f>
        <v>5.7915000000000001</v>
      </c>
      <c r="AU93" s="415">
        <f>IF(AS93="","",AS93*'Tabella Carichi Unitari'!$H$13)</f>
        <v>0</v>
      </c>
      <c r="AV93" s="415">
        <f>IF(AS93="","",AS93*'Tabella Carichi Unitari'!$C$13)</f>
        <v>4.4550000000000001</v>
      </c>
      <c r="AW93" s="109">
        <f>IF(AS93="","",AS93*'Tabella Carichi Unitari'!$K$13)</f>
        <v>0</v>
      </c>
      <c r="AX93" s="416">
        <v>1</v>
      </c>
      <c r="AY93" s="415">
        <f>IF(AX93="","",AX93*'Tabella Carichi Unitari'!$G$13)</f>
        <v>5.7915000000000001</v>
      </c>
      <c r="AZ93" s="415">
        <f>IF(AX93="","",AX93*'Tabella Carichi Unitari'!$H$13)</f>
        <v>0</v>
      </c>
      <c r="BA93" s="415">
        <f>IF(AX93="","",AX93*'Tabella Carichi Unitari'!$C$13)</f>
        <v>4.4550000000000001</v>
      </c>
      <c r="BB93" s="109">
        <f>IF(AX93="","",AX93*'Tabella Carichi Unitari'!$K$13)</f>
        <v>0</v>
      </c>
    </row>
    <row r="94" spans="1:54" x14ac:dyDescent="0.25">
      <c r="A94" s="136" t="s">
        <v>392</v>
      </c>
      <c r="B94" s="416"/>
      <c r="C94" s="415" t="str">
        <f>IF(B94="","",B94*'Tabella Carichi Unitari'!$G$16)</f>
        <v/>
      </c>
      <c r="D94" s="415" t="str">
        <f>IF(B94="","",B94*'Tabella Carichi Unitari'!$H$16)</f>
        <v/>
      </c>
      <c r="E94" s="415" t="str">
        <f>IF(B94="","",B94*'Tabella Carichi Unitari'!$C$16)</f>
        <v/>
      </c>
      <c r="F94" s="109" t="str">
        <f>IF(B94="","",B94*'Tabella Carichi Unitari'!$K$16)</f>
        <v/>
      </c>
      <c r="G94" s="416"/>
      <c r="H94" s="415" t="str">
        <f>IF(G94="","",G94*'Tabella Carichi Unitari'!$G$16)</f>
        <v/>
      </c>
      <c r="I94" s="415" t="str">
        <f>IF(G94="","",G94*'Tabella Carichi Unitari'!$H$16)</f>
        <v/>
      </c>
      <c r="J94" s="415" t="str">
        <f>IF(G94="","",G94*'Tabella Carichi Unitari'!$C$16)</f>
        <v/>
      </c>
      <c r="K94" s="109" t="str">
        <f>IF(G94="","",G94*'Tabella Carichi Unitari'!$K$16)</f>
        <v/>
      </c>
      <c r="L94" s="416"/>
      <c r="M94" s="415" t="str">
        <f>IF(L94="","",L94*'Tabella Carichi Unitari'!$G$16)</f>
        <v/>
      </c>
      <c r="N94" s="415" t="str">
        <f>IF(L94="","",L94*'Tabella Carichi Unitari'!$H$16)</f>
        <v/>
      </c>
      <c r="O94" s="415" t="str">
        <f>IF(L94="","",L94*'Tabella Carichi Unitari'!$C$16)</f>
        <v/>
      </c>
      <c r="P94" s="109" t="str">
        <f>IF(L94="","",L94*'Tabella Carichi Unitari'!$K$16)</f>
        <v/>
      </c>
      <c r="Q94" s="416"/>
      <c r="R94" s="415" t="str">
        <f>IF(Q94="","",Q94*'Tabella Carichi Unitari'!$G$16)</f>
        <v/>
      </c>
      <c r="S94" s="415" t="str">
        <f>IF(Q94="","",Q94*'Tabella Carichi Unitari'!$H$16)</f>
        <v/>
      </c>
      <c r="T94" s="415" t="str">
        <f>IF(Q94="","",Q94*'Tabella Carichi Unitari'!$C$16)</f>
        <v/>
      </c>
      <c r="U94" s="109" t="str">
        <f>IF(Q94="","",Q94*'Tabella Carichi Unitari'!$K$16)</f>
        <v/>
      </c>
      <c r="V94" s="416"/>
      <c r="W94" s="415" t="str">
        <f>IF(V94="","",V94*'Tabella Carichi Unitari'!$G$16)</f>
        <v/>
      </c>
      <c r="X94" s="415" t="str">
        <f>IF(V94="","",V94*'Tabella Carichi Unitari'!$H$16)</f>
        <v/>
      </c>
      <c r="Y94" s="415" t="str">
        <f>IF(V94="","",V94*'Tabella Carichi Unitari'!$C$16)</f>
        <v/>
      </c>
      <c r="Z94" s="109" t="str">
        <f>IF(V94="","",V94*'Tabella Carichi Unitari'!$K$16)</f>
        <v/>
      </c>
      <c r="AB94" s="416"/>
      <c r="AC94" s="136" t="s">
        <v>392</v>
      </c>
      <c r="AD94" s="416"/>
      <c r="AE94" s="415" t="str">
        <f>IF(AD94="","",AD94*'Tabella Carichi Unitari'!$G$16)</f>
        <v/>
      </c>
      <c r="AF94" s="415" t="str">
        <f>IF(AD94="","",AD94*'Tabella Carichi Unitari'!$H$16)</f>
        <v/>
      </c>
      <c r="AG94" s="415" t="str">
        <f>IF(AD94="","",AD94*'Tabella Carichi Unitari'!$C$16)</f>
        <v/>
      </c>
      <c r="AH94" s="109" t="str">
        <f>IF(AD94="","",AD94*'Tabella Carichi Unitari'!$K$16)</f>
        <v/>
      </c>
      <c r="AI94" s="416"/>
      <c r="AJ94" s="415" t="str">
        <f>IF(AI94="","",AI94*'Tabella Carichi Unitari'!$G$16)</f>
        <v/>
      </c>
      <c r="AK94" s="415" t="str">
        <f>IF(AI94="","",AI94*'Tabella Carichi Unitari'!$H$16)</f>
        <v/>
      </c>
      <c r="AL94" s="415" t="str">
        <f>IF(AI94="","",AI94*'Tabella Carichi Unitari'!$C$16)</f>
        <v/>
      </c>
      <c r="AM94" s="109" t="str">
        <f>IF(AI94="","",AI94*'Tabella Carichi Unitari'!$K$16)</f>
        <v/>
      </c>
      <c r="AN94" s="416"/>
      <c r="AO94" s="415" t="str">
        <f>IF(AN94="","",AN94*'Tabella Carichi Unitari'!$G$16)</f>
        <v/>
      </c>
      <c r="AP94" s="415" t="str">
        <f>IF(AN94="","",AN94*'Tabella Carichi Unitari'!$H$16)</f>
        <v/>
      </c>
      <c r="AQ94" s="415" t="str">
        <f>IF(AN94="","",AN94*'Tabella Carichi Unitari'!$C$16)</f>
        <v/>
      </c>
      <c r="AR94" s="109" t="str">
        <f>IF(AN94="","",AN94*'Tabella Carichi Unitari'!$K$16)</f>
        <v/>
      </c>
      <c r="AS94" s="416"/>
      <c r="AT94" s="415" t="str">
        <f>IF(AS94="","",AS94*'Tabella Carichi Unitari'!$G$16)</f>
        <v/>
      </c>
      <c r="AU94" s="415" t="str">
        <f>IF(AS94="","",AS94*'Tabella Carichi Unitari'!$H$16)</f>
        <v/>
      </c>
      <c r="AV94" s="415" t="str">
        <f>IF(AS94="","",AS94*'Tabella Carichi Unitari'!$C$16)</f>
        <v/>
      </c>
      <c r="AW94" s="109" t="str">
        <f>IF(AS94="","",AS94*'Tabella Carichi Unitari'!$K$16)</f>
        <v/>
      </c>
      <c r="AX94" s="416"/>
      <c r="AY94" s="415" t="str">
        <f>IF(AX94="","",AX94*'Tabella Carichi Unitari'!$G$16)</f>
        <v/>
      </c>
      <c r="AZ94" s="415" t="str">
        <f>IF(AX94="","",AX94*'Tabella Carichi Unitari'!$H$16)</f>
        <v/>
      </c>
      <c r="BA94" s="415" t="str">
        <f>IF(AX94="","",AX94*'Tabella Carichi Unitari'!$C$16)</f>
        <v/>
      </c>
      <c r="BB94" s="109" t="str">
        <f>IF(AX94="","",AX94*'Tabella Carichi Unitari'!$K$16)</f>
        <v/>
      </c>
    </row>
    <row r="95" spans="1:54" x14ac:dyDescent="0.25">
      <c r="A95" s="136" t="s">
        <v>313</v>
      </c>
      <c r="B95" s="416"/>
      <c r="C95" s="168" t="str">
        <f>IF(B95="","",B95*'Tabella Carichi Unitari'!$G$17)</f>
        <v/>
      </c>
      <c r="D95" s="168" t="str">
        <f>IF(B95="","",B95*'Tabella Carichi Unitari'!$H$17)</f>
        <v/>
      </c>
      <c r="E95" s="168" t="str">
        <f>IF(B95="","",B95*'Tabella Carichi Unitari'!$C$17)</f>
        <v/>
      </c>
      <c r="F95" s="110" t="str">
        <f>IF(B95="","",B95*'Tabella Carichi Unitari'!$K$17)</f>
        <v/>
      </c>
      <c r="G95" s="416"/>
      <c r="H95" s="168" t="str">
        <f>IF(G95="","",G95*'Tabella Carichi Unitari'!$G$17)</f>
        <v/>
      </c>
      <c r="I95" s="168" t="str">
        <f>IF(G95="","",G95*'Tabella Carichi Unitari'!$H$17)</f>
        <v/>
      </c>
      <c r="J95" s="168" t="str">
        <f>IF(G95="","",G95*'Tabella Carichi Unitari'!$C$17)</f>
        <v/>
      </c>
      <c r="K95" s="110" t="str">
        <f>IF(G95="","",G95*'Tabella Carichi Unitari'!$K$17)</f>
        <v/>
      </c>
      <c r="L95" s="416"/>
      <c r="M95" s="168" t="str">
        <f>IF(L95="","",L95*'Tabella Carichi Unitari'!$G$17)</f>
        <v/>
      </c>
      <c r="N95" s="168" t="str">
        <f>IF(L95="","",L95*'Tabella Carichi Unitari'!$H$17)</f>
        <v/>
      </c>
      <c r="O95" s="168" t="str">
        <f>IF(L95="","",L95*'Tabella Carichi Unitari'!$C$17)</f>
        <v/>
      </c>
      <c r="P95" s="110" t="str">
        <f>IF(L95="","",L95*'Tabella Carichi Unitari'!$K$17)</f>
        <v/>
      </c>
      <c r="Q95" s="416"/>
      <c r="R95" s="168" t="str">
        <f>IF(Q95="","",Q95*'Tabella Carichi Unitari'!$G$17)</f>
        <v/>
      </c>
      <c r="S95" s="168" t="str">
        <f>IF(Q95="","",Q95*'Tabella Carichi Unitari'!$H$17)</f>
        <v/>
      </c>
      <c r="T95" s="168" t="str">
        <f>IF(Q95="","",Q95*'Tabella Carichi Unitari'!$C$17)</f>
        <v/>
      </c>
      <c r="U95" s="110" t="str">
        <f>IF(Q95="","",Q95*'Tabella Carichi Unitari'!$K$17)</f>
        <v/>
      </c>
      <c r="V95" s="416"/>
      <c r="W95" s="168" t="str">
        <f>IF(V95="","",V95*'Tabella Carichi Unitari'!$G$17)</f>
        <v/>
      </c>
      <c r="X95" s="168" t="str">
        <f>IF(V95="","",V95*'Tabella Carichi Unitari'!$H$17)</f>
        <v/>
      </c>
      <c r="Y95" s="168" t="str">
        <f>IF(V95="","",V95*'Tabella Carichi Unitari'!$C$17)</f>
        <v/>
      </c>
      <c r="Z95" s="110" t="str">
        <f>IF(V95="","",V95*'Tabella Carichi Unitari'!$K$17)</f>
        <v/>
      </c>
      <c r="AB95" s="416"/>
      <c r="AC95" s="136" t="s">
        <v>313</v>
      </c>
      <c r="AD95" s="416"/>
      <c r="AE95" s="168" t="str">
        <f>IF(AD95="","",AD95*'Tabella Carichi Unitari'!$G$17)</f>
        <v/>
      </c>
      <c r="AF95" s="168" t="str">
        <f>IF(AD95="","",AD95*'Tabella Carichi Unitari'!$H$17)</f>
        <v/>
      </c>
      <c r="AG95" s="168" t="str">
        <f>IF(AD95="","",AD95*'Tabella Carichi Unitari'!$C$17)</f>
        <v/>
      </c>
      <c r="AH95" s="110" t="str">
        <f>IF(AD95="","",AD95*'Tabella Carichi Unitari'!$K$17)</f>
        <v/>
      </c>
      <c r="AI95" s="416"/>
      <c r="AJ95" s="168" t="str">
        <f>IF(AI95="","",AI95*'Tabella Carichi Unitari'!$G$17)</f>
        <v/>
      </c>
      <c r="AK95" s="168" t="str">
        <f>IF(AI95="","",AI95*'Tabella Carichi Unitari'!$H$17)</f>
        <v/>
      </c>
      <c r="AL95" s="168" t="str">
        <f>IF(AI95="","",AI95*'Tabella Carichi Unitari'!$C$17)</f>
        <v/>
      </c>
      <c r="AM95" s="110" t="str">
        <f>IF(AI95="","",AI95*'Tabella Carichi Unitari'!$K$17)</f>
        <v/>
      </c>
      <c r="AN95" s="416"/>
      <c r="AO95" s="168" t="str">
        <f>IF(AN95="","",AN95*'Tabella Carichi Unitari'!$G$17)</f>
        <v/>
      </c>
      <c r="AP95" s="168" t="str">
        <f>IF(AN95="","",AN95*'Tabella Carichi Unitari'!$H$17)</f>
        <v/>
      </c>
      <c r="AQ95" s="168" t="str">
        <f>IF(AN95="","",AN95*'Tabella Carichi Unitari'!$C$17)</f>
        <v/>
      </c>
      <c r="AR95" s="110" t="str">
        <f>IF(AN95="","",AN95*'Tabella Carichi Unitari'!$K$17)</f>
        <v/>
      </c>
      <c r="AS95" s="416"/>
      <c r="AT95" s="168" t="str">
        <f>IF(AS95="","",AS95*'Tabella Carichi Unitari'!$G$17)</f>
        <v/>
      </c>
      <c r="AU95" s="168" t="str">
        <f>IF(AS95="","",AS95*'Tabella Carichi Unitari'!$H$17)</f>
        <v/>
      </c>
      <c r="AV95" s="168" t="str">
        <f>IF(AS95="","",AS95*'Tabella Carichi Unitari'!$C$17)</f>
        <v/>
      </c>
      <c r="AW95" s="110" t="str">
        <f>IF(AS95="","",AS95*'Tabella Carichi Unitari'!$K$17)</f>
        <v/>
      </c>
      <c r="AX95" s="416"/>
      <c r="AY95" s="168" t="str">
        <f>IF(AX95="","",AX95*'Tabella Carichi Unitari'!$G$17)</f>
        <v/>
      </c>
      <c r="AZ95" s="168" t="str">
        <f>IF(AX95="","",AX95*'Tabella Carichi Unitari'!$H$17)</f>
        <v/>
      </c>
      <c r="BA95" s="168" t="str">
        <f>IF(AX95="","",AX95*'Tabella Carichi Unitari'!$C$17)</f>
        <v/>
      </c>
      <c r="BB95" s="110" t="str">
        <f>IF(AX95="","",AX95*'Tabella Carichi Unitari'!$K$17)</f>
        <v/>
      </c>
    </row>
    <row r="96" spans="1:54" x14ac:dyDescent="0.25">
      <c r="A96" s="136"/>
      <c r="B96" s="416"/>
      <c r="C96" s="415">
        <f>SUM(C90:C95)</f>
        <v>9.041500000000001</v>
      </c>
      <c r="D96" s="415">
        <f t="shared" ref="D96:Z96" si="55">SUM(D90:D95)</f>
        <v>3</v>
      </c>
      <c r="E96" s="415">
        <f t="shared" si="55"/>
        <v>6.9550000000000001</v>
      </c>
      <c r="F96" s="415">
        <f t="shared" si="55"/>
        <v>0.6</v>
      </c>
      <c r="G96" s="415"/>
      <c r="H96" s="415">
        <f t="shared" si="55"/>
        <v>9.8287800000000001</v>
      </c>
      <c r="I96" s="415">
        <f t="shared" si="55"/>
        <v>4.8</v>
      </c>
      <c r="J96" s="415">
        <f t="shared" si="55"/>
        <v>7.5605999999999991</v>
      </c>
      <c r="K96" s="415">
        <f t="shared" si="55"/>
        <v>1.7999999999999998</v>
      </c>
      <c r="L96" s="415"/>
      <c r="M96" s="415">
        <f t="shared" si="55"/>
        <v>10.80378</v>
      </c>
      <c r="N96" s="415">
        <f t="shared" si="55"/>
        <v>4.8</v>
      </c>
      <c r="O96" s="415">
        <f t="shared" si="55"/>
        <v>8.3105999999999991</v>
      </c>
      <c r="P96" s="415">
        <f t="shared" si="55"/>
        <v>1.7999999999999998</v>
      </c>
      <c r="Q96" s="415"/>
      <c r="R96" s="415">
        <f t="shared" si="55"/>
        <v>10.80378</v>
      </c>
      <c r="S96" s="415">
        <f t="shared" si="55"/>
        <v>4.8</v>
      </c>
      <c r="T96" s="415">
        <f t="shared" si="55"/>
        <v>8.3105999999999991</v>
      </c>
      <c r="U96" s="415">
        <f t="shared" si="55"/>
        <v>1.7999999999999998</v>
      </c>
      <c r="V96" s="415"/>
      <c r="W96" s="415">
        <f t="shared" si="55"/>
        <v>10.80378</v>
      </c>
      <c r="X96" s="415">
        <f t="shared" si="55"/>
        <v>4.8</v>
      </c>
      <c r="Y96" s="415">
        <f t="shared" si="55"/>
        <v>8.3105999999999991</v>
      </c>
      <c r="Z96" s="415">
        <f t="shared" si="55"/>
        <v>1.7999999999999998</v>
      </c>
      <c r="AB96" s="416"/>
      <c r="AC96" s="136"/>
      <c r="AD96" s="416"/>
      <c r="AE96" s="415">
        <f>SUM(AE90:AE95)</f>
        <v>27.579500000000003</v>
      </c>
      <c r="AF96" s="415">
        <f t="shared" ref="AF96:AH96" si="56">SUM(AF90:AF95)</f>
        <v>13.695</v>
      </c>
      <c r="AG96" s="415">
        <f t="shared" si="56"/>
        <v>21.215000000000003</v>
      </c>
      <c r="AH96" s="415">
        <f t="shared" si="56"/>
        <v>2.7390000000000003</v>
      </c>
      <c r="AI96" s="415"/>
      <c r="AJ96" s="415">
        <f t="shared" ref="AJ96:AM96" si="57">SUM(AJ90:AJ95)</f>
        <v>27.697558200000003</v>
      </c>
      <c r="AK96" s="415">
        <f t="shared" si="57"/>
        <v>21.912000000000003</v>
      </c>
      <c r="AL96" s="415">
        <f t="shared" si="57"/>
        <v>21.305813999999998</v>
      </c>
      <c r="AM96" s="415">
        <f t="shared" si="57"/>
        <v>8.2170000000000005</v>
      </c>
      <c r="AN96" s="415"/>
      <c r="AO96" s="415">
        <f t="shared" ref="AO96:AR96" si="58">SUM(AO90:AO95)</f>
        <v>28.672558200000001</v>
      </c>
      <c r="AP96" s="415">
        <f t="shared" si="58"/>
        <v>21.912000000000003</v>
      </c>
      <c r="AQ96" s="415">
        <f t="shared" si="58"/>
        <v>22.055813999999998</v>
      </c>
      <c r="AR96" s="415">
        <f t="shared" si="58"/>
        <v>8.2170000000000005</v>
      </c>
      <c r="AS96" s="415"/>
      <c r="AT96" s="415">
        <f t="shared" ref="AT96:AW96" si="59">SUM(AT90:AT95)</f>
        <v>28.672558200000001</v>
      </c>
      <c r="AU96" s="415">
        <f t="shared" si="59"/>
        <v>21.912000000000003</v>
      </c>
      <c r="AV96" s="415">
        <f t="shared" si="59"/>
        <v>22.055813999999998</v>
      </c>
      <c r="AW96" s="415">
        <f t="shared" si="59"/>
        <v>8.2170000000000005</v>
      </c>
      <c r="AX96" s="415"/>
      <c r="AY96" s="415">
        <f t="shared" ref="AY96:BB96" si="60">SUM(AY90:AY95)</f>
        <v>28.672558200000001</v>
      </c>
      <c r="AZ96" s="415">
        <f t="shared" si="60"/>
        <v>21.912000000000003</v>
      </c>
      <c r="BA96" s="415">
        <f t="shared" si="60"/>
        <v>22.055813999999998</v>
      </c>
      <c r="BB96" s="415">
        <f t="shared" si="60"/>
        <v>8.2170000000000005</v>
      </c>
    </row>
    <row r="97" spans="1:71" x14ac:dyDescent="0.25">
      <c r="B97" s="416"/>
      <c r="C97" s="612">
        <f>C96+D96</f>
        <v>12.041500000000001</v>
      </c>
      <c r="D97" s="612"/>
      <c r="E97" s="612">
        <f>E96+F96</f>
        <v>7.5549999999999997</v>
      </c>
      <c r="F97" s="612"/>
      <c r="G97" s="416"/>
      <c r="H97" s="612">
        <f>H96+I96</f>
        <v>14.628779999999999</v>
      </c>
      <c r="I97" s="612"/>
      <c r="J97" s="612">
        <f>J96+K96</f>
        <v>9.360599999999998</v>
      </c>
      <c r="K97" s="612"/>
      <c r="L97" s="416"/>
      <c r="M97" s="612">
        <f>M96+N96</f>
        <v>15.60378</v>
      </c>
      <c r="N97" s="612"/>
      <c r="O97" s="612">
        <f>O96+P96</f>
        <v>10.110599999999998</v>
      </c>
      <c r="P97" s="612"/>
      <c r="Q97" s="416"/>
      <c r="R97" s="612">
        <f>R96+S96</f>
        <v>15.60378</v>
      </c>
      <c r="S97" s="612"/>
      <c r="T97" s="612">
        <f>T96+U96</f>
        <v>10.110599999999998</v>
      </c>
      <c r="U97" s="612"/>
      <c r="V97" s="416"/>
      <c r="W97" s="612">
        <f>W96+X96</f>
        <v>15.60378</v>
      </c>
      <c r="X97" s="612"/>
      <c r="Y97" s="612">
        <f>Y96+Z96</f>
        <v>10.110599999999998</v>
      </c>
      <c r="Z97" s="612"/>
      <c r="AB97" s="416"/>
      <c r="AC97"/>
      <c r="AD97" s="416"/>
      <c r="AE97" s="612">
        <f>AE96+AF96</f>
        <v>41.274500000000003</v>
      </c>
      <c r="AF97" s="612"/>
      <c r="AG97" s="612">
        <f>AG96+AH96</f>
        <v>23.954000000000004</v>
      </c>
      <c r="AH97" s="612"/>
      <c r="AI97" s="416"/>
      <c r="AJ97" s="612">
        <f>AJ96+AK96</f>
        <v>49.609558200000009</v>
      </c>
      <c r="AK97" s="612"/>
      <c r="AL97" s="612">
        <f>AL96+AM96</f>
        <v>29.522813999999997</v>
      </c>
      <c r="AM97" s="612"/>
      <c r="AN97" s="416"/>
      <c r="AO97" s="612">
        <f>AO96+AP96</f>
        <v>50.584558200000004</v>
      </c>
      <c r="AP97" s="612"/>
      <c r="AQ97" s="612">
        <f>AQ96+AR96</f>
        <v>30.272813999999997</v>
      </c>
      <c r="AR97" s="612"/>
      <c r="AS97" s="416"/>
      <c r="AT97" s="612">
        <f>AT96+AU96</f>
        <v>50.584558200000004</v>
      </c>
      <c r="AU97" s="612"/>
      <c r="AV97" s="612">
        <f>AV96+AW96</f>
        <v>30.272813999999997</v>
      </c>
      <c r="AW97" s="612"/>
      <c r="AX97" s="416"/>
      <c r="AY97" s="612">
        <f>AY96+AZ96</f>
        <v>50.584558200000004</v>
      </c>
      <c r="AZ97" s="612"/>
      <c r="BA97" s="612">
        <f>BA96+BB96</f>
        <v>30.272813999999997</v>
      </c>
      <c r="BB97" s="612"/>
    </row>
    <row r="98" spans="1:71" x14ac:dyDescent="0.25">
      <c r="B98" s="416"/>
      <c r="G98" s="416"/>
      <c r="L98" s="416"/>
      <c r="Q98" s="416"/>
      <c r="V98" s="416"/>
      <c r="AB98" s="416"/>
      <c r="AC98" s="416"/>
      <c r="AD98" s="416"/>
      <c r="AE98" s="416"/>
      <c r="AF98" s="416"/>
      <c r="AG98" s="416"/>
      <c r="AH98" s="416"/>
      <c r="AI98" s="416"/>
      <c r="AJ98" s="416"/>
      <c r="AK98" s="416"/>
      <c r="AL98" s="416"/>
      <c r="AM98" s="416"/>
      <c r="AN98" s="416"/>
      <c r="AO98" s="416"/>
      <c r="AP98" s="416"/>
      <c r="AQ98" s="416"/>
      <c r="AR98" s="416"/>
      <c r="AS98" s="416"/>
      <c r="AT98" s="416"/>
      <c r="AU98" s="416"/>
      <c r="AV98" s="416"/>
      <c r="AW98" s="416"/>
    </row>
    <row r="99" spans="1:71" s="416" customFormat="1" x14ac:dyDescent="0.25">
      <c r="A99"/>
      <c r="C99"/>
      <c r="D99"/>
      <c r="E99"/>
      <c r="F99"/>
      <c r="H99"/>
      <c r="I99"/>
      <c r="J99"/>
      <c r="K99"/>
      <c r="M99"/>
      <c r="N99"/>
      <c r="O99"/>
      <c r="P99"/>
      <c r="R99"/>
      <c r="S99"/>
      <c r="T99"/>
      <c r="U99"/>
      <c r="W99"/>
      <c r="X99"/>
      <c r="Y99"/>
      <c r="Z99"/>
      <c r="AA99"/>
      <c r="AC99" s="402" t="s">
        <v>438</v>
      </c>
      <c r="AE99"/>
      <c r="AF99"/>
      <c r="AG99"/>
      <c r="AH99"/>
      <c r="AJ99"/>
      <c r="AK99"/>
      <c r="AL99"/>
      <c r="AM99"/>
      <c r="AO99"/>
      <c r="AP99"/>
      <c r="AQ99"/>
      <c r="AR99"/>
      <c r="AT99"/>
      <c r="AU99"/>
      <c r="AV99"/>
      <c r="AW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</row>
    <row r="100" spans="1:71" x14ac:dyDescent="0.25">
      <c r="A100" s="403" t="s">
        <v>393</v>
      </c>
      <c r="B100" s="416"/>
      <c r="C100" t="s">
        <v>399</v>
      </c>
      <c r="G100" s="416"/>
      <c r="H100" t="s">
        <v>400</v>
      </c>
      <c r="L100" s="416"/>
      <c r="M100" t="s">
        <v>401</v>
      </c>
      <c r="Q100" s="416"/>
      <c r="R100" t="s">
        <v>232</v>
      </c>
      <c r="V100" s="416"/>
      <c r="W100" t="s">
        <v>402</v>
      </c>
      <c r="AB100" s="416"/>
      <c r="AC100" s="403" t="s">
        <v>393</v>
      </c>
      <c r="AD100" s="416"/>
      <c r="AE100" t="s">
        <v>399</v>
      </c>
      <c r="AF100"/>
      <c r="AG100"/>
      <c r="AH100"/>
      <c r="AI100" s="416"/>
      <c r="AJ100" t="s">
        <v>400</v>
      </c>
      <c r="AK100"/>
      <c r="AL100"/>
      <c r="AM100"/>
      <c r="AN100" s="416"/>
      <c r="AO100" t="s">
        <v>401</v>
      </c>
      <c r="AP100"/>
      <c r="AQ100"/>
      <c r="AR100"/>
      <c r="AS100" s="416"/>
      <c r="AT100" t="s">
        <v>232</v>
      </c>
      <c r="AU100"/>
      <c r="AV100"/>
      <c r="AW100"/>
      <c r="AX100" s="416"/>
      <c r="AY100" t="s">
        <v>402</v>
      </c>
    </row>
    <row r="101" spans="1:71" x14ac:dyDescent="0.25">
      <c r="A101" s="404" t="s">
        <v>413</v>
      </c>
      <c r="B101" s="416"/>
      <c r="G101" s="416"/>
      <c r="L101" s="416"/>
      <c r="Q101" s="416"/>
      <c r="V101" s="416"/>
      <c r="AB101" s="416"/>
      <c r="AC101" s="404" t="s">
        <v>439</v>
      </c>
      <c r="AD101" s="416"/>
      <c r="AE101"/>
      <c r="AF101"/>
      <c r="AG101"/>
      <c r="AH101"/>
      <c r="AI101" s="416"/>
      <c r="AJ101"/>
      <c r="AK101"/>
      <c r="AL101"/>
      <c r="AM101"/>
      <c r="AN101" s="416"/>
      <c r="AO101"/>
      <c r="AP101"/>
      <c r="AQ101"/>
      <c r="AR101"/>
      <c r="AS101" s="416"/>
      <c r="AT101"/>
      <c r="AU101"/>
      <c r="AV101"/>
      <c r="AW101"/>
      <c r="AX101" s="416"/>
    </row>
    <row r="102" spans="1:71" x14ac:dyDescent="0.25">
      <c r="A102" s="136"/>
      <c r="B102" s="416"/>
      <c r="C102" s="416" t="s">
        <v>386</v>
      </c>
      <c r="D102" s="416" t="s">
        <v>396</v>
      </c>
      <c r="E102" s="416" t="s">
        <v>288</v>
      </c>
      <c r="F102" s="411" t="s">
        <v>406</v>
      </c>
      <c r="G102" s="412"/>
      <c r="H102" s="416" t="s">
        <v>386</v>
      </c>
      <c r="I102" s="416" t="s">
        <v>396</v>
      </c>
      <c r="J102" s="416" t="s">
        <v>288</v>
      </c>
      <c r="K102" s="411" t="s">
        <v>407</v>
      </c>
      <c r="L102" s="412"/>
      <c r="M102" s="416" t="s">
        <v>386</v>
      </c>
      <c r="N102" s="416" t="s">
        <v>396</v>
      </c>
      <c r="O102" s="416" t="s">
        <v>288</v>
      </c>
      <c r="P102" s="411" t="s">
        <v>407</v>
      </c>
      <c r="Q102" s="306"/>
      <c r="R102" s="416" t="s">
        <v>386</v>
      </c>
      <c r="S102" s="416" t="s">
        <v>396</v>
      </c>
      <c r="T102" s="416" t="s">
        <v>288</v>
      </c>
      <c r="U102" s="411" t="s">
        <v>407</v>
      </c>
      <c r="V102" s="306"/>
      <c r="W102" s="416" t="s">
        <v>386</v>
      </c>
      <c r="X102" s="416" t="s">
        <v>396</v>
      </c>
      <c r="Y102" s="416" t="s">
        <v>288</v>
      </c>
      <c r="Z102" s="411" t="s">
        <v>407</v>
      </c>
      <c r="AB102" s="416"/>
      <c r="AC102"/>
      <c r="AD102" s="306"/>
      <c r="AE102" s="416" t="s">
        <v>386</v>
      </c>
      <c r="AF102" s="416" t="s">
        <v>396</v>
      </c>
      <c r="AG102" s="416" t="s">
        <v>288</v>
      </c>
      <c r="AH102" s="418" t="s">
        <v>406</v>
      </c>
      <c r="AI102" s="306"/>
      <c r="AJ102" s="416" t="s">
        <v>386</v>
      </c>
      <c r="AK102" s="416" t="s">
        <v>396</v>
      </c>
      <c r="AL102" s="416" t="s">
        <v>288</v>
      </c>
      <c r="AM102" s="418" t="s">
        <v>407</v>
      </c>
      <c r="AN102" s="306"/>
      <c r="AO102" s="416" t="s">
        <v>386</v>
      </c>
      <c r="AP102" s="416" t="s">
        <v>396</v>
      </c>
      <c r="AQ102" s="416" t="s">
        <v>288</v>
      </c>
      <c r="AR102" s="411" t="s">
        <v>407</v>
      </c>
      <c r="AS102" s="306"/>
      <c r="AT102" s="416" t="s">
        <v>386</v>
      </c>
      <c r="AU102" s="416" t="s">
        <v>396</v>
      </c>
      <c r="AV102" s="416" t="s">
        <v>288</v>
      </c>
      <c r="AW102" s="411" t="s">
        <v>407</v>
      </c>
      <c r="AX102" s="306"/>
      <c r="AY102" s="416" t="s">
        <v>386</v>
      </c>
      <c r="AZ102" s="416" t="s">
        <v>396</v>
      </c>
      <c r="BA102" s="416" t="s">
        <v>288</v>
      </c>
      <c r="BB102" s="411" t="s">
        <v>407</v>
      </c>
    </row>
    <row r="103" spans="1:71" x14ac:dyDescent="0.25">
      <c r="A103" s="136" t="s">
        <v>312</v>
      </c>
      <c r="B103" s="416">
        <v>1</v>
      </c>
      <c r="C103" s="415">
        <f>IF(B103="","",B103*'Tabella Carichi Unitari'!$G$8)</f>
        <v>5.2</v>
      </c>
      <c r="D103" s="415">
        <f>IF(B103="","",B103*'Tabella Carichi Unitari'!$H$8)</f>
        <v>3</v>
      </c>
      <c r="E103" s="415">
        <f>IF(B103="","",B103*'Tabella Carichi Unitari'!$C$8)</f>
        <v>4</v>
      </c>
      <c r="F103" s="109">
        <f>IF(B103="","",B103*'Tabella Carichi Unitari'!$K$8)</f>
        <v>0.6</v>
      </c>
      <c r="G103" s="416">
        <v>1</v>
      </c>
      <c r="H103" s="415">
        <f>IF(G103="","",G103*'Tabella Carichi Unitari'!$G$7)</f>
        <v>5.0122799999999996</v>
      </c>
      <c r="I103" s="415">
        <f>IF(G103="","",G103*'Tabella Carichi Unitari'!$H$7)</f>
        <v>4.8</v>
      </c>
      <c r="J103" s="415">
        <f>IF(G103="","",G103*'Tabella Carichi Unitari'!$C$7)</f>
        <v>3.8555999999999995</v>
      </c>
      <c r="K103" s="109">
        <f>IF(G103="","",G103*'Tabella Carichi Unitari'!$K$7)</f>
        <v>1.7999999999999998</v>
      </c>
      <c r="L103" s="416">
        <v>1</v>
      </c>
      <c r="M103" s="415">
        <f>IF(L103="","",L103*'Tabella Carichi Unitari'!$G$7)</f>
        <v>5.0122799999999996</v>
      </c>
      <c r="N103" s="415">
        <f>IF(L103="","",L103*'Tabella Carichi Unitari'!$H$7)</f>
        <v>4.8</v>
      </c>
      <c r="O103" s="415">
        <f>IF(L103="","",L103*'Tabella Carichi Unitari'!$C$7)</f>
        <v>3.8555999999999995</v>
      </c>
      <c r="P103" s="109">
        <f>IF(L103="","",L103*'Tabella Carichi Unitari'!$K$7)</f>
        <v>1.7999999999999998</v>
      </c>
      <c r="Q103" s="416">
        <v>1</v>
      </c>
      <c r="R103" s="415">
        <f>IF(Q103="","",Q103*'Tabella Carichi Unitari'!$G$7)</f>
        <v>5.0122799999999996</v>
      </c>
      <c r="S103" s="415">
        <f>IF(Q103="","",Q103*'Tabella Carichi Unitari'!$H$7)</f>
        <v>4.8</v>
      </c>
      <c r="T103" s="415">
        <f>IF(Q103="","",Q103*'Tabella Carichi Unitari'!$C$7)</f>
        <v>3.8555999999999995</v>
      </c>
      <c r="U103" s="109">
        <f>IF(Q103="","",Q103*'Tabella Carichi Unitari'!$K$7)</f>
        <v>1.7999999999999998</v>
      </c>
      <c r="V103" s="416">
        <v>1</v>
      </c>
      <c r="W103" s="415">
        <f>IF(V103="","",V103*'Tabella Carichi Unitari'!$G$7)</f>
        <v>5.0122799999999996</v>
      </c>
      <c r="X103" s="415">
        <f>IF(V103="","",V103*'Tabella Carichi Unitari'!$H$7)</f>
        <v>4.8</v>
      </c>
      <c r="Y103" s="415">
        <f>IF(V103="","",V103*'Tabella Carichi Unitari'!$C$7)</f>
        <v>3.8555999999999995</v>
      </c>
      <c r="Z103" s="109">
        <f>IF(V103="","",V103*'Tabella Carichi Unitari'!$K$7)</f>
        <v>1.7999999999999998</v>
      </c>
      <c r="AA103" s="416"/>
      <c r="AB103" s="416"/>
      <c r="AC103" t="s">
        <v>312</v>
      </c>
      <c r="AD103" s="106">
        <f>(4.8/2)*1</f>
        <v>2.4</v>
      </c>
      <c r="AE103" s="415">
        <f>IF(AD103="","",AD103*'Tabella Carichi Unitari'!$G$8)</f>
        <v>12.48</v>
      </c>
      <c r="AF103" s="415">
        <f>IF(AD103="","",AD103*'Tabella Carichi Unitari'!$H$8)</f>
        <v>7.1999999999999993</v>
      </c>
      <c r="AG103" s="415">
        <f>IF(AD103="","",AD103*'Tabella Carichi Unitari'!$C$8)</f>
        <v>9.6</v>
      </c>
      <c r="AH103" s="415">
        <f>IF(AD103="","",AD103*'Tabella Carichi Unitari'!$K$8)</f>
        <v>1.44</v>
      </c>
      <c r="AI103" s="106">
        <f>AD103</f>
        <v>2.4</v>
      </c>
      <c r="AJ103" s="415">
        <f>IF(AI103="","",AI103*'Tabella Carichi Unitari'!$G$5)</f>
        <v>12.029471999999998</v>
      </c>
      <c r="AK103" s="415">
        <f>IF(AI103="","",AI103*'Tabella Carichi Unitari'!$H$5)</f>
        <v>7.1999999999999993</v>
      </c>
      <c r="AL103" s="415">
        <f>IF(AI103="","",AI103*'Tabella Carichi Unitari'!$C$5)</f>
        <v>9.2534399999999977</v>
      </c>
      <c r="AM103" s="415">
        <f>IF(AI103="","",AI103*'Tabella Carichi Unitari'!$K$5)</f>
        <v>1.44</v>
      </c>
      <c r="AN103" s="106">
        <f>AD103</f>
        <v>2.4</v>
      </c>
      <c r="AO103" s="415">
        <f>IF(AN103="","",AN103*'Tabella Carichi Unitari'!$G$5)</f>
        <v>12.029471999999998</v>
      </c>
      <c r="AP103" s="415">
        <f>IF(AN103="","",AN103*'Tabella Carichi Unitari'!$H$5)</f>
        <v>7.1999999999999993</v>
      </c>
      <c r="AQ103" s="415">
        <f>IF(AN103="","",AN103*'Tabella Carichi Unitari'!$C$5)</f>
        <v>9.2534399999999977</v>
      </c>
      <c r="AR103" s="109">
        <f>IF(AN103="","",AN103*'Tabella Carichi Unitari'!$K$5)</f>
        <v>1.44</v>
      </c>
      <c r="AS103" s="415">
        <f>AD103</f>
        <v>2.4</v>
      </c>
      <c r="AT103" s="415">
        <f>IF(AS103="","",AS103*'Tabella Carichi Unitari'!$G$5)</f>
        <v>12.029471999999998</v>
      </c>
      <c r="AU103" s="415">
        <f>IF(AS103="","",AS103*'Tabella Carichi Unitari'!$H$5)</f>
        <v>7.1999999999999993</v>
      </c>
      <c r="AV103" s="415">
        <f>IF(AS103="","",AS103*'Tabella Carichi Unitari'!$C$5)</f>
        <v>9.2534399999999977</v>
      </c>
      <c r="AW103" s="109">
        <f>IF(AS103="","",AS103*'Tabella Carichi Unitari'!$K$5)</f>
        <v>1.44</v>
      </c>
      <c r="AX103" s="415">
        <f>AD103</f>
        <v>2.4</v>
      </c>
      <c r="AY103" s="415">
        <f>IF(AX103="","",AX103*'Tabella Carichi Unitari'!$G$5)</f>
        <v>12.029471999999998</v>
      </c>
      <c r="AZ103" s="415">
        <f>IF(AX103="","",AX103*'Tabella Carichi Unitari'!$H$5)</f>
        <v>7.1999999999999993</v>
      </c>
      <c r="BA103" s="415">
        <f>IF(AX103="","",AX103*'Tabella Carichi Unitari'!$C$5)</f>
        <v>9.2534399999999977</v>
      </c>
      <c r="BB103" s="109">
        <f>IF(AX103="","",AX103*'Tabella Carichi Unitari'!$K$5)</f>
        <v>1.44</v>
      </c>
      <c r="BC103" s="416"/>
      <c r="BD103" s="416"/>
      <c r="BE103" s="416"/>
      <c r="BF103" s="416"/>
      <c r="BG103" s="416"/>
      <c r="BH103" s="416"/>
      <c r="BI103" s="416"/>
      <c r="BJ103" s="416"/>
      <c r="BK103" s="416"/>
      <c r="BL103" s="416"/>
      <c r="BM103" s="416"/>
      <c r="BN103" s="416"/>
      <c r="BO103" s="416"/>
      <c r="BP103" s="416"/>
      <c r="BQ103" s="416"/>
      <c r="BR103" s="416"/>
      <c r="BS103" s="416"/>
    </row>
    <row r="104" spans="1:71" x14ac:dyDescent="0.25">
      <c r="A104" s="136" t="s">
        <v>314</v>
      </c>
      <c r="B104" s="416"/>
      <c r="C104" s="415" t="str">
        <f>IF(B104="","",B104*'Tabella Carichi Unitari'!$G$11)</f>
        <v/>
      </c>
      <c r="D104" s="415" t="str">
        <f>IF(B104="","",B104*'Tabella Carichi Unitari'!$H$11)</f>
        <v/>
      </c>
      <c r="E104" s="415" t="str">
        <f>IF(B104="","",B104*'Tabella Carichi Unitari'!$C$11)</f>
        <v/>
      </c>
      <c r="F104" s="109" t="str">
        <f>IF(B104="","",B104*'Tabella Carichi Unitari'!$K$11)</f>
        <v/>
      </c>
      <c r="G104" s="416"/>
      <c r="H104" s="415" t="str">
        <f>IF(G104="","",G104*'Tabella Carichi Unitari'!$G$10)</f>
        <v/>
      </c>
      <c r="I104" s="415" t="str">
        <f>IF(G104="","",G104*'Tabella Carichi Unitari'!$H$10)</f>
        <v/>
      </c>
      <c r="J104" s="415" t="str">
        <f>IF(G104="","",G104*'Tabella Carichi Unitari'!$C$10)</f>
        <v/>
      </c>
      <c r="K104" s="109" t="str">
        <f>IF(G104="","",G104*'Tabella Carichi Unitari'!$K$10)</f>
        <v/>
      </c>
      <c r="L104" s="416"/>
      <c r="M104" s="415" t="str">
        <f>IF(L104="","",L104*'Tabella Carichi Unitari'!$G$10)</f>
        <v/>
      </c>
      <c r="N104" s="415" t="str">
        <f>IF(L104="","",L104*'Tabella Carichi Unitari'!$H$10)</f>
        <v/>
      </c>
      <c r="O104" s="415" t="str">
        <f>IF(L104="","",L104*'Tabella Carichi Unitari'!$C$10)</f>
        <v/>
      </c>
      <c r="P104" s="109" t="str">
        <f>IF(L104="","",L104*'Tabella Carichi Unitari'!$K$10)</f>
        <v/>
      </c>
      <c r="Q104" s="416"/>
      <c r="R104" s="415" t="str">
        <f>IF(Q104="","",Q104*'Tabella Carichi Unitari'!$G$10)</f>
        <v/>
      </c>
      <c r="S104" s="415" t="str">
        <f>IF(Q104="","",Q104*'Tabella Carichi Unitari'!$H$10)</f>
        <v/>
      </c>
      <c r="T104" s="415" t="str">
        <f>IF(Q104="","",Q104*'Tabella Carichi Unitari'!$C$10)</f>
        <v/>
      </c>
      <c r="U104" s="109" t="str">
        <f>IF(Q104="","",Q104*'Tabella Carichi Unitari'!$K$10)</f>
        <v/>
      </c>
      <c r="V104" s="416"/>
      <c r="W104" s="415" t="str">
        <f>IF(V104="","",V104*'Tabella Carichi Unitari'!$G$10)</f>
        <v/>
      </c>
      <c r="X104" s="415" t="str">
        <f>IF(V104="","",V104*'Tabella Carichi Unitari'!$H$10)</f>
        <v/>
      </c>
      <c r="Y104" s="415" t="str">
        <f>IF(V104="","",V104*'Tabella Carichi Unitari'!$C$10)</f>
        <v/>
      </c>
      <c r="Z104" s="109" t="str">
        <f>IF(V104="","",V104*'Tabella Carichi Unitari'!$K$10)</f>
        <v/>
      </c>
      <c r="AB104" s="416"/>
      <c r="AC104" t="s">
        <v>314</v>
      </c>
      <c r="AD104" s="106">
        <f>(0.5+0.15)</f>
        <v>0.65</v>
      </c>
      <c r="AE104" s="415">
        <f>IF(AD104="","",AD104*'Tabella Carichi Unitari'!$G$11)</f>
        <v>3.2955000000000001</v>
      </c>
      <c r="AF104" s="415">
        <f>IF(AD104="","",AD104*'Tabella Carichi Unitari'!$H$11)</f>
        <v>0.48750000000000004</v>
      </c>
      <c r="AG104" s="415">
        <f>IF(AD104="","",AD104*'Tabella Carichi Unitari'!$C$11)</f>
        <v>2.5350000000000001</v>
      </c>
      <c r="AH104" s="415">
        <f>IF(AD104="","",AD104*'Tabella Carichi Unitari'!$K$11)</f>
        <v>0</v>
      </c>
      <c r="AI104" s="106">
        <f>AD104</f>
        <v>0.65</v>
      </c>
      <c r="AJ104" s="415">
        <f>IF(AI104="","",AI104*'Tabella Carichi Unitari'!$G$10)</f>
        <v>3.4729499999999995</v>
      </c>
      <c r="AK104" s="415">
        <f>IF(AI104="","",AI104*'Tabella Carichi Unitari'!$H$10)</f>
        <v>3.9000000000000004</v>
      </c>
      <c r="AL104" s="415">
        <f>IF(AI104="","",AI104*'Tabella Carichi Unitari'!$C$10)</f>
        <v>2.6714999999999995</v>
      </c>
      <c r="AM104" s="415">
        <f>IF(AI104="","",AI104*'Tabella Carichi Unitari'!$K$10)</f>
        <v>1.56</v>
      </c>
      <c r="AN104" s="106">
        <f>AD104</f>
        <v>0.65</v>
      </c>
      <c r="AO104" s="415">
        <f>IF(AN104="","",AN104*'Tabella Carichi Unitari'!$G$10)</f>
        <v>3.4729499999999995</v>
      </c>
      <c r="AP104" s="415">
        <f>IF(AN104="","",AN104*'Tabella Carichi Unitari'!$H$10)</f>
        <v>3.9000000000000004</v>
      </c>
      <c r="AQ104" s="415">
        <f>IF(AN104="","",AN104*'Tabella Carichi Unitari'!$C$10)</f>
        <v>2.6714999999999995</v>
      </c>
      <c r="AR104" s="109">
        <f>IF(AN104="","",AN104*'Tabella Carichi Unitari'!$K$10)</f>
        <v>1.56</v>
      </c>
      <c r="AS104" s="416"/>
      <c r="AT104" s="415" t="str">
        <f>IF(AS104="","",AS104*'Tabella Carichi Unitari'!$G$10)</f>
        <v/>
      </c>
      <c r="AU104" s="415" t="str">
        <f>IF(AS104="","",AS104*'Tabella Carichi Unitari'!$H$10)</f>
        <v/>
      </c>
      <c r="AV104" s="415" t="str">
        <f>IF(AS104="","",AS104*'Tabella Carichi Unitari'!$C$10)</f>
        <v/>
      </c>
      <c r="AW104" s="109" t="str">
        <f>IF(AS104="","",AS104*'Tabella Carichi Unitari'!$K$10)</f>
        <v/>
      </c>
      <c r="AX104" s="416"/>
      <c r="AY104" s="415" t="str">
        <f>IF(AX104="","",AX104*'Tabella Carichi Unitari'!$G$10)</f>
        <v/>
      </c>
      <c r="AZ104" s="415" t="str">
        <f>IF(AX104="","",AX104*'Tabella Carichi Unitari'!$H$10)</f>
        <v/>
      </c>
      <c r="BA104" s="415" t="str">
        <f>IF(AX104="","",AX104*'Tabella Carichi Unitari'!$C$10)</f>
        <v/>
      </c>
      <c r="BB104" s="109" t="str">
        <f>IF(AX104="","",AX104*'Tabella Carichi Unitari'!$K$10)</f>
        <v/>
      </c>
    </row>
    <row r="105" spans="1:71" x14ac:dyDescent="0.25">
      <c r="A105" s="136" t="s">
        <v>315</v>
      </c>
      <c r="B105" s="416"/>
      <c r="C105" s="415" t="str">
        <f>IF(B105="","",B105*'Tabella Carichi Unitari'!$G$12)</f>
        <v/>
      </c>
      <c r="D105" s="415" t="str">
        <f>IF(B105="","",B105*'Tabella Carichi Unitari'!$H$12)</f>
        <v/>
      </c>
      <c r="E105" s="415" t="str">
        <f>IF(B105="","",B105*'Tabella Carichi Unitari'!$C$12)</f>
        <v/>
      </c>
      <c r="F105" s="109" t="str">
        <f>IF(B105="","",B105*'Tabella Carichi Unitari'!$K$12)</f>
        <v/>
      </c>
      <c r="G105" s="416"/>
      <c r="H105" s="415" t="str">
        <f>IF(G105="","",G105*'Tabella Carichi Unitari'!$G$12)</f>
        <v/>
      </c>
      <c r="I105" s="415" t="str">
        <f>IF(G105="","",G105*'Tabella Carichi Unitari'!$H$12)</f>
        <v/>
      </c>
      <c r="J105" s="415" t="str">
        <f>IF(G105="","",G105*'Tabella Carichi Unitari'!$C$12)</f>
        <v/>
      </c>
      <c r="K105" s="109" t="str">
        <f>IF(G105="","",G105*'Tabella Carichi Unitari'!$K$12)</f>
        <v/>
      </c>
      <c r="L105" s="416"/>
      <c r="M105" s="415" t="str">
        <f>IF(L105="","",L105*'Tabella Carichi Unitari'!$G$12)</f>
        <v/>
      </c>
      <c r="N105" s="415" t="str">
        <f>IF(L105="","",L105*'Tabella Carichi Unitari'!$H$12)</f>
        <v/>
      </c>
      <c r="O105" s="415" t="str">
        <f>IF(L105="","",L105*'Tabella Carichi Unitari'!$C$12)</f>
        <v/>
      </c>
      <c r="P105" s="109" t="str">
        <f>IF(L105="","",L105*'Tabella Carichi Unitari'!$K$12)</f>
        <v/>
      </c>
      <c r="Q105" s="416"/>
      <c r="R105" s="415" t="str">
        <f>IF(Q105="","",Q105*'Tabella Carichi Unitari'!$G$12)</f>
        <v/>
      </c>
      <c r="S105" s="415" t="str">
        <f>IF(Q105="","",Q105*'Tabella Carichi Unitari'!$H$12)</f>
        <v/>
      </c>
      <c r="T105" s="415" t="str">
        <f>IF(Q105="","",Q105*'Tabella Carichi Unitari'!$C$12)</f>
        <v/>
      </c>
      <c r="U105" s="109" t="str">
        <f>IF(Q105="","",Q105*'Tabella Carichi Unitari'!$K$12)</f>
        <v/>
      </c>
      <c r="V105" s="416"/>
      <c r="W105" s="415" t="str">
        <f>IF(V105="","",V105*'Tabella Carichi Unitari'!$G$12)</f>
        <v/>
      </c>
      <c r="X105" s="415" t="str">
        <f>IF(V105="","",V105*'Tabella Carichi Unitari'!$H$12)</f>
        <v/>
      </c>
      <c r="Y105" s="415" t="str">
        <f>IF(V105="","",V105*'Tabella Carichi Unitari'!$C$12)</f>
        <v/>
      </c>
      <c r="Z105" s="109" t="str">
        <f>IF(V105="","",V105*'Tabella Carichi Unitari'!$K$12)</f>
        <v/>
      </c>
      <c r="AB105" s="416"/>
      <c r="AC105" t="s">
        <v>315</v>
      </c>
      <c r="AD105" s="106"/>
      <c r="AE105" s="415" t="str">
        <f>IF(AD105="","",AD105*'Tabella Carichi Unitari'!$G$12)</f>
        <v/>
      </c>
      <c r="AF105" s="415" t="str">
        <f>IF(AD105="","",AD105*'Tabella Carichi Unitari'!$H$12)</f>
        <v/>
      </c>
      <c r="AG105" s="415" t="str">
        <f>IF(AD105="","",AD105*'Tabella Carichi Unitari'!$C$12)</f>
        <v/>
      </c>
      <c r="AH105" s="415" t="str">
        <f>IF(AD105="","",AD105*'Tabella Carichi Unitari'!$K$12)</f>
        <v/>
      </c>
      <c r="AI105" s="106"/>
      <c r="AJ105" s="415" t="str">
        <f>IF(AI105="","",AI105*'Tabella Carichi Unitari'!$G$12)</f>
        <v/>
      </c>
      <c r="AK105" s="415" t="str">
        <f>IF(AI105="","",AI105*'Tabella Carichi Unitari'!$H$12)</f>
        <v/>
      </c>
      <c r="AL105" s="415" t="str">
        <f>IF(AI105="","",AI105*'Tabella Carichi Unitari'!$C$12)</f>
        <v/>
      </c>
      <c r="AM105" s="415" t="str">
        <f>IF(AI105="","",AI105*'Tabella Carichi Unitari'!$K$12)</f>
        <v/>
      </c>
      <c r="AN105" s="106"/>
      <c r="AO105" s="415" t="str">
        <f>IF(AN105="","",AN105*'Tabella Carichi Unitari'!$G$12)</f>
        <v/>
      </c>
      <c r="AP105" s="415" t="str">
        <f>IF(AN105="","",AN105*'Tabella Carichi Unitari'!$H$12)</f>
        <v/>
      </c>
      <c r="AQ105" s="415" t="str">
        <f>IF(AN105="","",AN105*'Tabella Carichi Unitari'!$C$12)</f>
        <v/>
      </c>
      <c r="AR105" s="109" t="str">
        <f>IF(AN105="","",AN105*'Tabella Carichi Unitari'!$K$12)</f>
        <v/>
      </c>
      <c r="AS105" s="416"/>
      <c r="AT105" s="415" t="str">
        <f>IF(AS105="","",AS105*'Tabella Carichi Unitari'!$G$12)</f>
        <v/>
      </c>
      <c r="AU105" s="415" t="str">
        <f>IF(AS105="","",AS105*'Tabella Carichi Unitari'!$H$12)</f>
        <v/>
      </c>
      <c r="AV105" s="415" t="str">
        <f>IF(AS105="","",AS105*'Tabella Carichi Unitari'!$C$12)</f>
        <v/>
      </c>
      <c r="AW105" s="109" t="str">
        <f>IF(AS105="","",AS105*'Tabella Carichi Unitari'!$K$12)</f>
        <v/>
      </c>
      <c r="AX105" s="416"/>
      <c r="AY105" s="415" t="str">
        <f>IF(AX105="","",AX105*'Tabella Carichi Unitari'!$G$12)</f>
        <v/>
      </c>
      <c r="AZ105" s="415" t="str">
        <f>IF(AX105="","",AX105*'Tabella Carichi Unitari'!$H$12)</f>
        <v/>
      </c>
      <c r="BA105" s="415" t="str">
        <f>IF(AX105="","",AX105*'Tabella Carichi Unitari'!$C$12)</f>
        <v/>
      </c>
      <c r="BB105" s="109" t="str">
        <f>IF(AX105="","",AX105*'Tabella Carichi Unitari'!$K$12)</f>
        <v/>
      </c>
    </row>
    <row r="106" spans="1:71" x14ac:dyDescent="0.25">
      <c r="A106" s="136" t="s">
        <v>391</v>
      </c>
      <c r="B106" s="416"/>
      <c r="C106" s="415" t="str">
        <f>IF(B106="","",B106*'Tabella Carichi Unitari'!$G$15)</f>
        <v/>
      </c>
      <c r="D106" s="415" t="str">
        <f>IF(B106="","",B106*'Tabella Carichi Unitari'!$H$15)</f>
        <v/>
      </c>
      <c r="E106" s="415" t="str">
        <f>IF(B106="","",B106*'Tabella Carichi Unitari'!$C$15)</f>
        <v/>
      </c>
      <c r="F106" s="109" t="str">
        <f>IF(B106="","",B106*'Tabella Carichi Unitari'!$K$15)</f>
        <v/>
      </c>
      <c r="G106" s="416"/>
      <c r="H106" s="415" t="str">
        <f>IF(G106="","",G106*'Tabella Carichi Unitari'!$G$14)</f>
        <v/>
      </c>
      <c r="I106" s="415" t="str">
        <f>IF(G106="","",G106*'Tabella Carichi Unitari'!$H$14)</f>
        <v/>
      </c>
      <c r="J106" s="415" t="str">
        <f>IF(G106="","",G106*'Tabella Carichi Unitari'!$C$14)</f>
        <v/>
      </c>
      <c r="K106" s="109" t="str">
        <f>IF(G106="","",G106*'Tabella Carichi Unitari'!$K$14)</f>
        <v/>
      </c>
      <c r="L106" s="416"/>
      <c r="M106" s="415" t="str">
        <f>IF(L106="","",L106*'Tabella Carichi Unitari'!$G$13)</f>
        <v/>
      </c>
      <c r="N106" s="415" t="str">
        <f>IF(L106="","",L106*'Tabella Carichi Unitari'!$H$13)</f>
        <v/>
      </c>
      <c r="O106" s="415" t="str">
        <f>IF(L106="","",L106*'Tabella Carichi Unitari'!$C$13)</f>
        <v/>
      </c>
      <c r="P106" s="109" t="str">
        <f>IF(L106="","",L106*'Tabella Carichi Unitari'!$K$13)</f>
        <v/>
      </c>
      <c r="Q106" s="416"/>
      <c r="R106" s="415" t="str">
        <f>IF(Q106="","",Q106*'Tabella Carichi Unitari'!$G$13)</f>
        <v/>
      </c>
      <c r="S106" s="415" t="str">
        <f>IF(Q106="","",Q106*'Tabella Carichi Unitari'!$H$13)</f>
        <v/>
      </c>
      <c r="T106" s="415" t="str">
        <f>IF(Q106="","",Q106*'Tabella Carichi Unitari'!$C$13)</f>
        <v/>
      </c>
      <c r="U106" s="109" t="str">
        <f>IF(Q106="","",Q106*'Tabella Carichi Unitari'!$K$13)</f>
        <v/>
      </c>
      <c r="V106" s="416"/>
      <c r="W106" s="415" t="str">
        <f>IF(V106="","",V106*'Tabella Carichi Unitari'!$G$13)</f>
        <v/>
      </c>
      <c r="X106" s="415" t="str">
        <f>IF(V106="","",V106*'Tabella Carichi Unitari'!$H$13)</f>
        <v/>
      </c>
      <c r="Y106" s="415" t="str">
        <f>IF(V106="","",V106*'Tabella Carichi Unitari'!$C$13)</f>
        <v/>
      </c>
      <c r="Z106" s="109" t="str">
        <f>IF(V106="","",V106*'Tabella Carichi Unitari'!$K$13)</f>
        <v/>
      </c>
      <c r="AB106" s="416"/>
      <c r="AC106" t="s">
        <v>391</v>
      </c>
      <c r="AD106" s="306">
        <v>1</v>
      </c>
      <c r="AE106" s="415">
        <f>IF(AD106="","",AD106*'Tabella Carichi Unitari'!$G$15)</f>
        <v>3.8415000000000004</v>
      </c>
      <c r="AF106" s="415">
        <f>IF(AD106="","",AD106*'Tabella Carichi Unitari'!$H$15)</f>
        <v>0</v>
      </c>
      <c r="AG106" s="415">
        <f>IF(AD106="","",AD106*'Tabella Carichi Unitari'!$C$15)</f>
        <v>2.9550000000000001</v>
      </c>
      <c r="AH106" s="415">
        <f>IF(AD106="","",AD106*'Tabella Carichi Unitari'!$K$15)</f>
        <v>0</v>
      </c>
      <c r="AI106" s="306">
        <v>1</v>
      </c>
      <c r="AJ106" s="415">
        <f>IF(AI106="","",AI106*'Tabella Carichi Unitari'!$G$14)</f>
        <v>4.8165000000000004</v>
      </c>
      <c r="AK106" s="415">
        <f>IF(AI106="","",AI106*'Tabella Carichi Unitari'!$H$14)</f>
        <v>0</v>
      </c>
      <c r="AL106" s="415">
        <f>IF(AI106="","",AI106*'Tabella Carichi Unitari'!$C$14)</f>
        <v>3.7050000000000001</v>
      </c>
      <c r="AM106" s="415">
        <f>IF(AI106="","",AI106*'Tabella Carichi Unitari'!$K$14)</f>
        <v>0</v>
      </c>
      <c r="AN106" s="306">
        <v>1</v>
      </c>
      <c r="AO106" s="415">
        <f>IF(AN106="","",AN106*'Tabella Carichi Unitari'!$G$13)</f>
        <v>5.7915000000000001</v>
      </c>
      <c r="AP106" s="415">
        <f>IF(AN106="","",AN106*'Tabella Carichi Unitari'!$H$13)</f>
        <v>0</v>
      </c>
      <c r="AQ106" s="415">
        <f>IF(AN106="","",AN106*'Tabella Carichi Unitari'!$C$13)</f>
        <v>4.4550000000000001</v>
      </c>
      <c r="AR106" s="109">
        <f>IF(AN106="","",AN106*'Tabella Carichi Unitari'!$K$13)</f>
        <v>0</v>
      </c>
      <c r="AS106" s="416">
        <v>1</v>
      </c>
      <c r="AT106" s="415">
        <f>IF(AS106="","",AS106*'Tabella Carichi Unitari'!$G$13)</f>
        <v>5.7915000000000001</v>
      </c>
      <c r="AU106" s="415">
        <f>IF(AS106="","",AS106*'Tabella Carichi Unitari'!$H$13)</f>
        <v>0</v>
      </c>
      <c r="AV106" s="415">
        <f>IF(AS106="","",AS106*'Tabella Carichi Unitari'!$C$13)</f>
        <v>4.4550000000000001</v>
      </c>
      <c r="AW106" s="109">
        <f>IF(AS106="","",AS106*'Tabella Carichi Unitari'!$K$13)</f>
        <v>0</v>
      </c>
      <c r="AX106" s="416">
        <v>1</v>
      </c>
      <c r="AY106" s="415">
        <f>IF(AX106="","",AX106*'Tabella Carichi Unitari'!$G$13)</f>
        <v>5.7915000000000001</v>
      </c>
      <c r="AZ106" s="415">
        <f>IF(AX106="","",AX106*'Tabella Carichi Unitari'!$H$13)</f>
        <v>0</v>
      </c>
      <c r="BA106" s="415">
        <f>IF(AX106="","",AX106*'Tabella Carichi Unitari'!$C$13)</f>
        <v>4.4550000000000001</v>
      </c>
      <c r="BB106" s="109">
        <f>IF(AX106="","",AX106*'Tabella Carichi Unitari'!$K$13)</f>
        <v>0</v>
      </c>
    </row>
    <row r="107" spans="1:71" x14ac:dyDescent="0.25">
      <c r="A107" s="136" t="s">
        <v>392</v>
      </c>
      <c r="B107" s="416">
        <v>1</v>
      </c>
      <c r="C107" s="415">
        <f>IF(B107="","",B107*'Tabella Carichi Unitari'!$G$16)</f>
        <v>6.1932000000000009</v>
      </c>
      <c r="D107" s="415">
        <f>IF(B107="","",B107*'Tabella Carichi Unitari'!$H$16)</f>
        <v>0</v>
      </c>
      <c r="E107" s="415">
        <f>IF(B107="","",B107*'Tabella Carichi Unitari'!$C$16)</f>
        <v>4.7640000000000002</v>
      </c>
      <c r="F107" s="109">
        <f>IF(B107="","",B107*'Tabella Carichi Unitari'!$K$16)</f>
        <v>0</v>
      </c>
      <c r="G107" s="416">
        <v>1</v>
      </c>
      <c r="H107" s="415">
        <f>IF(G107="","",G107*'Tabella Carichi Unitari'!$G$16)</f>
        <v>6.1932000000000009</v>
      </c>
      <c r="I107" s="415">
        <f>IF(G107="","",G107*'Tabella Carichi Unitari'!$H$16)</f>
        <v>0</v>
      </c>
      <c r="J107" s="415">
        <f>IF(G107="","",G107*'Tabella Carichi Unitari'!$C$16)</f>
        <v>4.7640000000000002</v>
      </c>
      <c r="K107" s="109">
        <f>IF(G107="","",G107*'Tabella Carichi Unitari'!$K$16)</f>
        <v>0</v>
      </c>
      <c r="L107" s="416">
        <v>1</v>
      </c>
      <c r="M107" s="415">
        <f>IF(L107="","",L107*'Tabella Carichi Unitari'!$G$16)</f>
        <v>6.1932000000000009</v>
      </c>
      <c r="N107" s="415">
        <f>IF(L107="","",L107*'Tabella Carichi Unitari'!$H$16)</f>
        <v>0</v>
      </c>
      <c r="O107" s="415">
        <f>IF(L107="","",L107*'Tabella Carichi Unitari'!$C$16)</f>
        <v>4.7640000000000002</v>
      </c>
      <c r="P107" s="109">
        <f>IF(L107="","",L107*'Tabella Carichi Unitari'!$K$16)</f>
        <v>0</v>
      </c>
      <c r="Q107" s="416">
        <v>1</v>
      </c>
      <c r="R107" s="415">
        <f>IF(Q107="","",Q107*'Tabella Carichi Unitari'!$G$16)</f>
        <v>6.1932000000000009</v>
      </c>
      <c r="S107" s="415">
        <f>IF(Q107="","",Q107*'Tabella Carichi Unitari'!$H$16)</f>
        <v>0</v>
      </c>
      <c r="T107" s="415">
        <f>IF(Q107="","",Q107*'Tabella Carichi Unitari'!$C$16)</f>
        <v>4.7640000000000002</v>
      </c>
      <c r="U107" s="109">
        <f>IF(Q107="","",Q107*'Tabella Carichi Unitari'!$K$16)</f>
        <v>0</v>
      </c>
      <c r="V107" s="416">
        <v>1</v>
      </c>
      <c r="W107" s="415">
        <f>IF(V107="","",V107*'Tabella Carichi Unitari'!$G$16)</f>
        <v>6.1932000000000009</v>
      </c>
      <c r="X107" s="415">
        <f>IF(V107="","",V107*'Tabella Carichi Unitari'!$H$16)</f>
        <v>0</v>
      </c>
      <c r="Y107" s="415">
        <f>IF(V107="","",V107*'Tabella Carichi Unitari'!$C$16)</f>
        <v>4.7640000000000002</v>
      </c>
      <c r="Z107" s="109">
        <f>IF(V107="","",V107*'Tabella Carichi Unitari'!$K$16)</f>
        <v>0</v>
      </c>
      <c r="AB107" s="416"/>
      <c r="AC107" t="s">
        <v>392</v>
      </c>
      <c r="AD107" s="306"/>
      <c r="AE107" s="415" t="str">
        <f>IF(AD107="","",AD107*'Tabella Carichi Unitari'!$G$16)</f>
        <v/>
      </c>
      <c r="AF107" s="415" t="str">
        <f>IF(AD107="","",AD107*'Tabella Carichi Unitari'!$H$16)</f>
        <v/>
      </c>
      <c r="AG107" s="415" t="str">
        <f>IF(AD107="","",AD107*'Tabella Carichi Unitari'!$C$16)</f>
        <v/>
      </c>
      <c r="AH107" s="415" t="str">
        <f>IF(AD107="","",AD107*'Tabella Carichi Unitari'!$K$16)</f>
        <v/>
      </c>
      <c r="AI107" s="306"/>
      <c r="AJ107" s="415" t="str">
        <f>IF(AI107="","",AI107*'Tabella Carichi Unitari'!$G$16)</f>
        <v/>
      </c>
      <c r="AK107" s="415" t="str">
        <f>IF(AI107="","",AI107*'Tabella Carichi Unitari'!$H$16)</f>
        <v/>
      </c>
      <c r="AL107" s="415" t="str">
        <f>IF(AI107="","",AI107*'Tabella Carichi Unitari'!$C$16)</f>
        <v/>
      </c>
      <c r="AM107" s="415" t="str">
        <f>IF(AI107="","",AI107*'Tabella Carichi Unitari'!$K$16)</f>
        <v/>
      </c>
      <c r="AN107" s="306"/>
      <c r="AO107" s="415" t="str">
        <f>IF(AN107="","",AN107*'Tabella Carichi Unitari'!$G$9)</f>
        <v/>
      </c>
      <c r="AP107" s="415" t="str">
        <f>IF(AN107="","",AN107*'Tabella Carichi Unitari'!$H$9)</f>
        <v/>
      </c>
      <c r="AQ107" s="415" t="str">
        <f>IF(AN107="","",AN107*'Tabella Carichi Unitari'!$C$9)</f>
        <v/>
      </c>
      <c r="AR107" s="109" t="str">
        <f>IF(AN107="","",AN107*'Tabella Carichi Unitari'!$K$9)</f>
        <v/>
      </c>
      <c r="AS107" s="416"/>
      <c r="AT107" s="415" t="str">
        <f>IF(AS107="","",AS107*'Tabella Carichi Unitari'!$G$9)</f>
        <v/>
      </c>
      <c r="AU107" s="415" t="str">
        <f>IF(AS107="","",AS107*'Tabella Carichi Unitari'!$H$9)</f>
        <v/>
      </c>
      <c r="AV107" s="415" t="str">
        <f>IF(AS107="","",AS107*'Tabella Carichi Unitari'!$C$9)</f>
        <v/>
      </c>
      <c r="AW107" s="109" t="str">
        <f>IF(AS107="","",AS107*'Tabella Carichi Unitari'!$K$9)</f>
        <v/>
      </c>
      <c r="AX107" s="416"/>
      <c r="AY107" s="415" t="str">
        <f>IF(AX107="","",AX107*'Tabella Carichi Unitari'!$G$9)</f>
        <v/>
      </c>
      <c r="AZ107" s="415" t="str">
        <f>IF(AX107="","",AX107*'Tabella Carichi Unitari'!$H$9)</f>
        <v/>
      </c>
      <c r="BA107" s="415" t="str">
        <f>IF(AX107="","",AX107*'Tabella Carichi Unitari'!$C$9)</f>
        <v/>
      </c>
      <c r="BB107" s="109" t="str">
        <f>IF(AX107="","",AX107*'Tabella Carichi Unitari'!$K$9)</f>
        <v/>
      </c>
    </row>
    <row r="108" spans="1:71" x14ac:dyDescent="0.25">
      <c r="A108" s="136" t="s">
        <v>313</v>
      </c>
      <c r="B108" s="416"/>
      <c r="C108" s="168" t="str">
        <f>IF(B108="","",B108*'Tabella Carichi Unitari'!$G$17)</f>
        <v/>
      </c>
      <c r="D108" s="168" t="str">
        <f>IF(B108="","",B108*'Tabella Carichi Unitari'!$H$17)</f>
        <v/>
      </c>
      <c r="E108" s="168" t="str">
        <f>IF(B108="","",B108*'Tabella Carichi Unitari'!$C$17)</f>
        <v/>
      </c>
      <c r="F108" s="110" t="str">
        <f>IF(B108="","",B108*'Tabella Carichi Unitari'!$K$17)</f>
        <v/>
      </c>
      <c r="G108" s="416"/>
      <c r="H108" s="168" t="str">
        <f>IF(G108="","",G108*'Tabella Carichi Unitari'!$G$17)</f>
        <v/>
      </c>
      <c r="I108" s="168" t="str">
        <f>IF(G108="","",G108*'Tabella Carichi Unitari'!$H$17)</f>
        <v/>
      </c>
      <c r="J108" s="168" t="str">
        <f>IF(G108="","",G108*'Tabella Carichi Unitari'!$C$17)</f>
        <v/>
      </c>
      <c r="K108" s="110" t="str">
        <f>IF(G108="","",G108*'Tabella Carichi Unitari'!$K$17)</f>
        <v/>
      </c>
      <c r="L108" s="416"/>
      <c r="M108" s="168" t="str">
        <f>IF(L108="","",L108*'Tabella Carichi Unitari'!$G$17)</f>
        <v/>
      </c>
      <c r="N108" s="168" t="str">
        <f>IF(L108="","",L108*'Tabella Carichi Unitari'!$H$17)</f>
        <v/>
      </c>
      <c r="O108" s="168" t="str">
        <f>IF(L108="","",L108*'Tabella Carichi Unitari'!$C$17)</f>
        <v/>
      </c>
      <c r="P108" s="110" t="str">
        <f>IF(L108="","",L108*'Tabella Carichi Unitari'!$K$17)</f>
        <v/>
      </c>
      <c r="Q108" s="416"/>
      <c r="R108" s="168" t="str">
        <f>IF(Q108="","",Q108*'Tabella Carichi Unitari'!$G$17)</f>
        <v/>
      </c>
      <c r="S108" s="168" t="str">
        <f>IF(Q108="","",Q108*'Tabella Carichi Unitari'!$H$17)</f>
        <v/>
      </c>
      <c r="T108" s="168" t="str">
        <f>IF(Q108="","",Q108*'Tabella Carichi Unitari'!$C$17)</f>
        <v/>
      </c>
      <c r="U108" s="110" t="str">
        <f>IF(Q108="","",Q108*'Tabella Carichi Unitari'!$K$17)</f>
        <v/>
      </c>
      <c r="V108" s="416"/>
      <c r="W108" s="168" t="str">
        <f>IF(V108="","",V108*'Tabella Carichi Unitari'!$G$17)</f>
        <v/>
      </c>
      <c r="X108" s="168" t="str">
        <f>IF(V108="","",V108*'Tabella Carichi Unitari'!$H$17)</f>
        <v/>
      </c>
      <c r="Y108" s="168" t="str">
        <f>IF(V108="","",V108*'Tabella Carichi Unitari'!$C$17)</f>
        <v/>
      </c>
      <c r="Z108" s="110" t="str">
        <f>IF(V108="","",V108*'Tabella Carichi Unitari'!$K$17)</f>
        <v/>
      </c>
      <c r="AB108" s="416"/>
      <c r="AC108" t="s">
        <v>313</v>
      </c>
      <c r="AD108" s="306"/>
      <c r="AE108" s="168" t="str">
        <f>IF(AD108="","",AD108*'Tabella Carichi Unitari'!$G$17)</f>
        <v/>
      </c>
      <c r="AF108" s="168" t="str">
        <f>IF(AD108="","",AD108*'Tabella Carichi Unitari'!$H$17)</f>
        <v/>
      </c>
      <c r="AG108" s="168" t="str">
        <f>IF(AD108="","",AD108*'Tabella Carichi Unitari'!$C$17)</f>
        <v/>
      </c>
      <c r="AH108" s="110" t="str">
        <f>IF(AD108="","",AD108*'Tabella Carichi Unitari'!$K$17)</f>
        <v/>
      </c>
      <c r="AI108" s="306">
        <v>0.9</v>
      </c>
      <c r="AJ108" s="168">
        <f>IF(AI108="","",AI108*'Tabella Carichi Unitari'!$G$17)</f>
        <v>6.7860000000000014</v>
      </c>
      <c r="AK108" s="168">
        <f>IF(AI108="","",AI108*'Tabella Carichi Unitari'!$H$17)</f>
        <v>0</v>
      </c>
      <c r="AL108" s="168">
        <f>IF(AI108="","",AI108*'Tabella Carichi Unitari'!$C$17)</f>
        <v>5.2200000000000006</v>
      </c>
      <c r="AM108" s="110">
        <f>IF(AI108="","",AI108*'Tabella Carichi Unitari'!$K$17)</f>
        <v>0</v>
      </c>
      <c r="AN108" s="306">
        <v>0.9</v>
      </c>
      <c r="AO108" s="168">
        <f>IF(AN108="","",AN108*'Tabella Carichi Unitari'!$G$17)</f>
        <v>6.7860000000000014</v>
      </c>
      <c r="AP108" s="168">
        <f>IF(AN108="","",AN108*'Tabella Carichi Unitari'!$H$17)</f>
        <v>0</v>
      </c>
      <c r="AQ108" s="168">
        <f>IF(AN108="","",AN108*'Tabella Carichi Unitari'!$C$17)</f>
        <v>5.2200000000000006</v>
      </c>
      <c r="AR108" s="110">
        <f>IF(AN108="","",AN108*'Tabella Carichi Unitari'!$K$17)</f>
        <v>0</v>
      </c>
      <c r="AS108" s="416">
        <v>0.9</v>
      </c>
      <c r="AT108" s="168">
        <f>IF(AS108="","",AS108*'Tabella Carichi Unitari'!$G$17)</f>
        <v>6.7860000000000014</v>
      </c>
      <c r="AU108" s="168">
        <f>IF(AS108="","",AS108*'Tabella Carichi Unitari'!$H$17)</f>
        <v>0</v>
      </c>
      <c r="AV108" s="168">
        <f>IF(AS108="","",AS108*'Tabella Carichi Unitari'!$C$17)</f>
        <v>5.2200000000000006</v>
      </c>
      <c r="AW108" s="110">
        <f>IF(AS108="","",AS108*'Tabella Carichi Unitari'!$K$17)</f>
        <v>0</v>
      </c>
      <c r="AX108" s="416">
        <v>0.9</v>
      </c>
      <c r="AY108" s="168">
        <f>IF(AX108="","",AX108*'Tabella Carichi Unitari'!$G$17)</f>
        <v>6.7860000000000014</v>
      </c>
      <c r="AZ108" s="168">
        <f>IF(AX108="","",AX108*'Tabella Carichi Unitari'!$H$17)</f>
        <v>0</v>
      </c>
      <c r="BA108" s="168">
        <f>IF(AX108="","",AX108*'Tabella Carichi Unitari'!$C$17)</f>
        <v>5.2200000000000006</v>
      </c>
      <c r="BB108" s="110">
        <f>IF(AX108="","",AX108*'Tabella Carichi Unitari'!$K$17)</f>
        <v>0</v>
      </c>
    </row>
    <row r="109" spans="1:71" x14ac:dyDescent="0.25">
      <c r="A109" s="136"/>
      <c r="B109" s="416"/>
      <c r="C109" s="415">
        <f>SUM(C103:C108)</f>
        <v>11.3932</v>
      </c>
      <c r="D109" s="415">
        <f t="shared" ref="D109:Z109" si="61">SUM(D103:D108)</f>
        <v>3</v>
      </c>
      <c r="E109" s="415">
        <f t="shared" si="61"/>
        <v>8.7639999999999993</v>
      </c>
      <c r="F109" s="415">
        <f t="shared" si="61"/>
        <v>0.6</v>
      </c>
      <c r="G109" s="415"/>
      <c r="H109" s="415">
        <f t="shared" si="61"/>
        <v>11.205480000000001</v>
      </c>
      <c r="I109" s="415">
        <f t="shared" si="61"/>
        <v>4.8</v>
      </c>
      <c r="J109" s="415">
        <f t="shared" si="61"/>
        <v>8.6196000000000002</v>
      </c>
      <c r="K109" s="415">
        <f t="shared" si="61"/>
        <v>1.7999999999999998</v>
      </c>
      <c r="L109" s="415"/>
      <c r="M109" s="415">
        <f t="shared" si="61"/>
        <v>11.205480000000001</v>
      </c>
      <c r="N109" s="415">
        <f t="shared" si="61"/>
        <v>4.8</v>
      </c>
      <c r="O109" s="415">
        <f t="shared" si="61"/>
        <v>8.6196000000000002</v>
      </c>
      <c r="P109" s="415">
        <f t="shared" si="61"/>
        <v>1.7999999999999998</v>
      </c>
      <c r="Q109" s="415"/>
      <c r="R109" s="415">
        <f t="shared" si="61"/>
        <v>11.205480000000001</v>
      </c>
      <c r="S109" s="415">
        <f t="shared" si="61"/>
        <v>4.8</v>
      </c>
      <c r="T109" s="415">
        <f t="shared" si="61"/>
        <v>8.6196000000000002</v>
      </c>
      <c r="U109" s="415">
        <f t="shared" si="61"/>
        <v>1.7999999999999998</v>
      </c>
      <c r="V109" s="415"/>
      <c r="W109" s="415">
        <f t="shared" si="61"/>
        <v>11.205480000000001</v>
      </c>
      <c r="X109" s="415">
        <f t="shared" si="61"/>
        <v>4.8</v>
      </c>
      <c r="Y109" s="415">
        <f t="shared" si="61"/>
        <v>8.6196000000000002</v>
      </c>
      <c r="Z109" s="415">
        <f t="shared" si="61"/>
        <v>1.7999999999999998</v>
      </c>
      <c r="AB109" s="416"/>
      <c r="AC109"/>
      <c r="AD109" s="306"/>
      <c r="AE109" s="415">
        <f>SUM(AE103:AE108)</f>
        <v>19.617000000000001</v>
      </c>
      <c r="AF109" s="415">
        <f>SUM(AF103:AF108)</f>
        <v>7.6874999999999991</v>
      </c>
      <c r="AG109" s="415">
        <f>SUM(AG103:AG108)</f>
        <v>15.09</v>
      </c>
      <c r="AH109" s="415">
        <f>SUM(AH103:AH108)</f>
        <v>1.44</v>
      </c>
      <c r="AI109" s="306"/>
      <c r="AJ109" s="415">
        <f>SUM(AJ103:AJ108)</f>
        <v>27.104921999999998</v>
      </c>
      <c r="AK109" s="415">
        <f>SUM(AK103:AK108)</f>
        <v>11.1</v>
      </c>
      <c r="AL109" s="415">
        <f>SUM(AL103:AL108)</f>
        <v>20.849939999999997</v>
      </c>
      <c r="AM109" s="415">
        <f>SUM(AM103:AM108)</f>
        <v>3</v>
      </c>
      <c r="AN109" s="306"/>
      <c r="AO109" s="415">
        <f>SUM(AO103:AO108)</f>
        <v>28.079922</v>
      </c>
      <c r="AP109" s="415">
        <f>SUM(AP103:AP108)</f>
        <v>11.1</v>
      </c>
      <c r="AQ109" s="415">
        <f>SUM(AQ103:AQ108)</f>
        <v>21.599939999999997</v>
      </c>
      <c r="AR109" s="109">
        <f>SUM(AR103:AR108)</f>
        <v>3</v>
      </c>
      <c r="AS109" s="416"/>
      <c r="AT109" s="415">
        <f>SUM(AT103:AT108)</f>
        <v>24.606971999999999</v>
      </c>
      <c r="AU109" s="415">
        <f t="shared" ref="AU109:AW109" si="62">SUM(AU103:AU108)</f>
        <v>7.1999999999999993</v>
      </c>
      <c r="AV109" s="415">
        <f t="shared" si="62"/>
        <v>18.928439999999998</v>
      </c>
      <c r="AW109" s="415">
        <f t="shared" si="62"/>
        <v>1.44</v>
      </c>
      <c r="AX109" s="416"/>
      <c r="AY109" s="415">
        <f>SUM(AY103:AY108)</f>
        <v>24.606971999999999</v>
      </c>
      <c r="AZ109" s="415">
        <f t="shared" ref="AZ109:BB109" si="63">SUM(AZ103:AZ108)</f>
        <v>7.1999999999999993</v>
      </c>
      <c r="BA109" s="415">
        <f t="shared" si="63"/>
        <v>18.928439999999998</v>
      </c>
      <c r="BB109" s="415">
        <f t="shared" si="63"/>
        <v>1.44</v>
      </c>
    </row>
    <row r="110" spans="1:71" x14ac:dyDescent="0.25">
      <c r="B110" s="416"/>
      <c r="C110" s="612">
        <f>C109+D109</f>
        <v>14.3932</v>
      </c>
      <c r="D110" s="612"/>
      <c r="E110" s="612">
        <f>E109+F109</f>
        <v>9.363999999999999</v>
      </c>
      <c r="F110" s="612"/>
      <c r="G110" s="416"/>
      <c r="H110" s="612">
        <f>H109+I109</f>
        <v>16.005480000000002</v>
      </c>
      <c r="I110" s="612"/>
      <c r="J110" s="612">
        <f>J109+K109</f>
        <v>10.419599999999999</v>
      </c>
      <c r="K110" s="612"/>
      <c r="L110" s="416"/>
      <c r="M110" s="612">
        <f>M109+N109</f>
        <v>16.005480000000002</v>
      </c>
      <c r="N110" s="612"/>
      <c r="O110" s="612">
        <f>O109+P109</f>
        <v>10.419599999999999</v>
      </c>
      <c r="P110" s="612"/>
      <c r="Q110" s="416"/>
      <c r="R110" s="612">
        <f>R109+S109</f>
        <v>16.005480000000002</v>
      </c>
      <c r="S110" s="612"/>
      <c r="T110" s="612">
        <f>T109+U109</f>
        <v>10.419599999999999</v>
      </c>
      <c r="U110" s="612"/>
      <c r="V110" s="416"/>
      <c r="W110" s="612">
        <f>W109+X109</f>
        <v>16.005480000000002</v>
      </c>
      <c r="X110" s="612"/>
      <c r="Y110" s="612">
        <f>Y109+Z109</f>
        <v>10.419599999999999</v>
      </c>
      <c r="Z110" s="612"/>
      <c r="AB110" s="416"/>
      <c r="AC110"/>
      <c r="AD110" s="412"/>
      <c r="AE110" s="612">
        <f>AE109+AF109</f>
        <v>27.304500000000001</v>
      </c>
      <c r="AF110" s="612"/>
      <c r="AG110" s="612">
        <f>AG109+AH109</f>
        <v>16.53</v>
      </c>
      <c r="AH110" s="612"/>
      <c r="AI110" s="412"/>
      <c r="AJ110" s="612">
        <f>AJ109+AK109</f>
        <v>38.204921999999996</v>
      </c>
      <c r="AK110" s="612"/>
      <c r="AL110" s="612">
        <f>AL109+AM109</f>
        <v>23.849939999999997</v>
      </c>
      <c r="AM110" s="612"/>
      <c r="AN110" s="412"/>
      <c r="AO110" s="612">
        <f>AO109+AP109</f>
        <v>39.179921999999998</v>
      </c>
      <c r="AP110" s="612"/>
      <c r="AQ110" s="612">
        <f>AQ109+AR109</f>
        <v>24.599939999999997</v>
      </c>
      <c r="AR110" s="612"/>
      <c r="AS110" s="416"/>
      <c r="AT110" s="612">
        <f>AT109+AU109</f>
        <v>31.806971999999998</v>
      </c>
      <c r="AU110" s="612"/>
      <c r="AV110" s="612">
        <f>AV109+AW109</f>
        <v>20.36844</v>
      </c>
      <c r="AW110" s="612"/>
      <c r="AX110" s="416"/>
      <c r="AY110" s="612">
        <f>AY109+AZ109</f>
        <v>31.806971999999998</v>
      </c>
      <c r="AZ110" s="612"/>
      <c r="BA110" s="612">
        <f>BA109+BB109</f>
        <v>20.36844</v>
      </c>
      <c r="BB110" s="612"/>
    </row>
    <row r="111" spans="1:71" x14ac:dyDescent="0.25">
      <c r="B111" s="416"/>
      <c r="G111" s="416"/>
      <c r="L111" s="416"/>
      <c r="Q111" s="416"/>
      <c r="V111" s="416"/>
      <c r="AB111" s="416"/>
      <c r="AC111" s="416"/>
      <c r="AD111" s="416"/>
      <c r="AE111" s="416"/>
      <c r="AF111" s="416"/>
      <c r="AG111" s="416"/>
      <c r="AH111" s="416"/>
      <c r="AI111" s="416"/>
      <c r="AJ111" s="416"/>
      <c r="AK111" s="416"/>
      <c r="AL111" s="416"/>
      <c r="AM111" s="416"/>
      <c r="AN111" s="416"/>
      <c r="AO111" s="416"/>
      <c r="AP111" s="416"/>
      <c r="AQ111" s="416"/>
      <c r="AR111" s="416"/>
      <c r="AS111" s="416"/>
      <c r="AT111" s="416"/>
      <c r="AU111" s="416"/>
      <c r="AV111" s="416"/>
      <c r="AW111" s="416"/>
    </row>
    <row r="112" spans="1:71" x14ac:dyDescent="0.25">
      <c r="B112" s="416"/>
      <c r="G112" s="416"/>
      <c r="L112" s="416"/>
      <c r="Q112" s="416"/>
      <c r="V112" s="416"/>
      <c r="AB112" s="416"/>
      <c r="AC112" s="416"/>
      <c r="AD112" s="416"/>
      <c r="AE112" s="416"/>
      <c r="AF112" s="416"/>
      <c r="AG112" s="416"/>
      <c r="AH112" s="416"/>
      <c r="AI112" s="416"/>
      <c r="AJ112" s="416"/>
      <c r="AK112" s="416"/>
      <c r="AL112" s="416"/>
      <c r="AM112" s="416"/>
      <c r="AN112" s="416"/>
      <c r="AO112" s="416"/>
      <c r="AP112" s="416"/>
      <c r="AQ112" s="416"/>
      <c r="AR112" s="416"/>
      <c r="AS112" s="416"/>
      <c r="AT112" s="416"/>
      <c r="AU112" s="416"/>
      <c r="AV112" s="416"/>
      <c r="AW112" s="416"/>
    </row>
    <row r="113" spans="1:54" x14ac:dyDescent="0.25">
      <c r="A113" s="403" t="s">
        <v>393</v>
      </c>
      <c r="B113" s="416"/>
      <c r="C113" t="s">
        <v>399</v>
      </c>
      <c r="G113" s="416"/>
      <c r="H113" t="s">
        <v>400</v>
      </c>
      <c r="L113" s="416"/>
      <c r="M113" t="s">
        <v>401</v>
      </c>
      <c r="Q113" s="416"/>
      <c r="R113" t="s">
        <v>232</v>
      </c>
      <c r="V113" s="416"/>
      <c r="W113" t="s">
        <v>402</v>
      </c>
      <c r="AB113" s="416"/>
      <c r="AC113" s="403" t="s">
        <v>393</v>
      </c>
      <c r="AD113" s="416"/>
      <c r="AE113" t="s">
        <v>399</v>
      </c>
      <c r="AF113"/>
      <c r="AG113"/>
      <c r="AH113"/>
      <c r="AI113" s="416"/>
      <c r="AJ113" t="s">
        <v>400</v>
      </c>
      <c r="AK113"/>
      <c r="AL113"/>
      <c r="AM113"/>
      <c r="AN113" s="416"/>
      <c r="AO113" t="s">
        <v>401</v>
      </c>
      <c r="AP113"/>
      <c r="AQ113"/>
      <c r="AR113"/>
      <c r="AS113" s="416"/>
      <c r="AT113" t="s">
        <v>232</v>
      </c>
      <c r="AU113"/>
      <c r="AV113"/>
      <c r="AW113"/>
      <c r="AX113" s="416"/>
      <c r="AY113" t="s">
        <v>402</v>
      </c>
    </row>
    <row r="114" spans="1:54" x14ac:dyDescent="0.25">
      <c r="A114" s="404" t="s">
        <v>415</v>
      </c>
      <c r="B114" s="416"/>
      <c r="G114" s="416"/>
      <c r="L114" s="416"/>
      <c r="Q114" s="416"/>
      <c r="V114" s="416"/>
      <c r="AB114" s="416"/>
      <c r="AC114" s="404" t="s">
        <v>440</v>
      </c>
      <c r="AD114" s="416"/>
      <c r="AE114"/>
      <c r="AF114"/>
      <c r="AG114"/>
      <c r="AH114"/>
      <c r="AI114" s="416"/>
      <c r="AJ114"/>
      <c r="AK114"/>
      <c r="AL114"/>
      <c r="AM114"/>
      <c r="AN114" s="416"/>
      <c r="AO114"/>
      <c r="AP114"/>
      <c r="AQ114"/>
      <c r="AR114"/>
      <c r="AS114" s="416"/>
      <c r="AT114"/>
      <c r="AU114"/>
      <c r="AV114"/>
      <c r="AW114"/>
      <c r="AX114" s="416"/>
    </row>
    <row r="115" spans="1:54" x14ac:dyDescent="0.25">
      <c r="A115" s="136"/>
      <c r="B115" s="416"/>
      <c r="C115" s="416" t="s">
        <v>386</v>
      </c>
      <c r="D115" s="416" t="s">
        <v>396</v>
      </c>
      <c r="E115" s="416" t="s">
        <v>288</v>
      </c>
      <c r="F115" s="411" t="s">
        <v>406</v>
      </c>
      <c r="G115" s="412"/>
      <c r="H115" s="416" t="s">
        <v>386</v>
      </c>
      <c r="I115" s="416" t="s">
        <v>396</v>
      </c>
      <c r="J115" s="416" t="s">
        <v>288</v>
      </c>
      <c r="K115" s="411" t="s">
        <v>407</v>
      </c>
      <c r="L115" s="412"/>
      <c r="M115" s="416" t="s">
        <v>386</v>
      </c>
      <c r="N115" s="416" t="s">
        <v>396</v>
      </c>
      <c r="O115" s="416" t="s">
        <v>288</v>
      </c>
      <c r="P115" s="411" t="s">
        <v>407</v>
      </c>
      <c r="Q115" s="306"/>
      <c r="R115" s="416" t="s">
        <v>386</v>
      </c>
      <c r="S115" s="416" t="s">
        <v>396</v>
      </c>
      <c r="T115" s="416" t="s">
        <v>288</v>
      </c>
      <c r="U115" s="411" t="s">
        <v>407</v>
      </c>
      <c r="V115" s="306"/>
      <c r="W115" s="416" t="s">
        <v>386</v>
      </c>
      <c r="X115" s="416" t="s">
        <v>396</v>
      </c>
      <c r="Y115" s="416" t="s">
        <v>288</v>
      </c>
      <c r="Z115" s="411" t="s">
        <v>407</v>
      </c>
      <c r="AB115" s="416"/>
      <c r="AC115" s="136"/>
      <c r="AD115" s="416"/>
      <c r="AE115" s="416" t="s">
        <v>386</v>
      </c>
      <c r="AF115" s="416" t="s">
        <v>396</v>
      </c>
      <c r="AG115" s="416" t="s">
        <v>288</v>
      </c>
      <c r="AH115" s="411" t="s">
        <v>406</v>
      </c>
      <c r="AI115" s="412"/>
      <c r="AJ115" s="416" t="s">
        <v>386</v>
      </c>
      <c r="AK115" s="416" t="s">
        <v>396</v>
      </c>
      <c r="AL115" s="416" t="s">
        <v>288</v>
      </c>
      <c r="AM115" s="411" t="s">
        <v>407</v>
      </c>
      <c r="AN115" s="412"/>
      <c r="AO115" s="416" t="s">
        <v>386</v>
      </c>
      <c r="AP115" s="416" t="s">
        <v>396</v>
      </c>
      <c r="AQ115" s="416" t="s">
        <v>288</v>
      </c>
      <c r="AR115" s="411" t="s">
        <v>407</v>
      </c>
      <c r="AS115" s="306"/>
      <c r="AT115" s="416" t="s">
        <v>386</v>
      </c>
      <c r="AU115" s="416" t="s">
        <v>396</v>
      </c>
      <c r="AV115" s="416" t="s">
        <v>288</v>
      </c>
      <c r="AW115" s="411" t="s">
        <v>407</v>
      </c>
      <c r="AX115" s="306"/>
      <c r="AY115" s="416" t="s">
        <v>386</v>
      </c>
      <c r="AZ115" s="416" t="s">
        <v>396</v>
      </c>
      <c r="BA115" s="416" t="s">
        <v>288</v>
      </c>
      <c r="BB115" s="411" t="s">
        <v>407</v>
      </c>
    </row>
    <row r="116" spans="1:54" x14ac:dyDescent="0.25">
      <c r="A116" s="136" t="s">
        <v>312</v>
      </c>
      <c r="B116" s="416">
        <v>0.5</v>
      </c>
      <c r="C116" s="415">
        <f>IF(B116="","",B116*'Tabella Carichi Unitari'!$G$8)</f>
        <v>2.6</v>
      </c>
      <c r="D116" s="415">
        <f>IF(B116="","",B116*'Tabella Carichi Unitari'!$H$8)</f>
        <v>1.5</v>
      </c>
      <c r="E116" s="415">
        <f>IF(B116="","",B116*'Tabella Carichi Unitari'!$C$8)</f>
        <v>2</v>
      </c>
      <c r="F116" s="109">
        <f>IF(B116="","",B116*'Tabella Carichi Unitari'!$K$8)</f>
        <v>0.3</v>
      </c>
      <c r="G116" s="416">
        <v>0.5</v>
      </c>
      <c r="H116" s="415">
        <f>IF(G116="","",G116*'Tabella Carichi Unitari'!$G$7)</f>
        <v>2.5061399999999998</v>
      </c>
      <c r="I116" s="415">
        <f>IF(G116="","",G116*'Tabella Carichi Unitari'!$H$7)</f>
        <v>2.4</v>
      </c>
      <c r="J116" s="415">
        <f>IF(G116="","",G116*'Tabella Carichi Unitari'!$C$7)</f>
        <v>1.9277999999999997</v>
      </c>
      <c r="K116" s="109">
        <f>IF(G116="","",G116*'Tabella Carichi Unitari'!$K$7)</f>
        <v>0.89999999999999991</v>
      </c>
      <c r="L116" s="416">
        <v>0.5</v>
      </c>
      <c r="M116" s="415">
        <f>IF(L116="","",L116*'Tabella Carichi Unitari'!$G$7)</f>
        <v>2.5061399999999998</v>
      </c>
      <c r="N116" s="415">
        <f>IF(L116="","",L116*'Tabella Carichi Unitari'!$H$7)</f>
        <v>2.4</v>
      </c>
      <c r="O116" s="415">
        <f>IF(L116="","",L116*'Tabella Carichi Unitari'!$C$7)</f>
        <v>1.9277999999999997</v>
      </c>
      <c r="P116" s="109">
        <f>IF(L116="","",L116*'Tabella Carichi Unitari'!$K$7)</f>
        <v>0.89999999999999991</v>
      </c>
      <c r="Q116" s="416">
        <v>0.5</v>
      </c>
      <c r="R116" s="415">
        <f>IF(Q116="","",Q116*'Tabella Carichi Unitari'!$G$7)</f>
        <v>2.5061399999999998</v>
      </c>
      <c r="S116" s="415">
        <f>IF(Q116="","",Q116*'Tabella Carichi Unitari'!$H$7)</f>
        <v>2.4</v>
      </c>
      <c r="T116" s="415">
        <f>IF(Q116="","",Q116*'Tabella Carichi Unitari'!$C$7)</f>
        <v>1.9277999999999997</v>
      </c>
      <c r="U116" s="109">
        <f>IF(Q116="","",Q116*'Tabella Carichi Unitari'!$K$7)</f>
        <v>0.89999999999999991</v>
      </c>
      <c r="V116" s="416">
        <v>0.5</v>
      </c>
      <c r="W116" s="415">
        <f>IF(V116="","",V116*'Tabella Carichi Unitari'!$G$7)</f>
        <v>2.5061399999999998</v>
      </c>
      <c r="X116" s="415">
        <f>IF(V116="","",V116*'Tabella Carichi Unitari'!$H$7)</f>
        <v>2.4</v>
      </c>
      <c r="Y116" s="415">
        <f>IF(V116="","",V116*'Tabella Carichi Unitari'!$C$7)</f>
        <v>1.9277999999999997</v>
      </c>
      <c r="Z116" s="109">
        <f>IF(V116="","",V116*'Tabella Carichi Unitari'!$K$7)</f>
        <v>0.89999999999999991</v>
      </c>
      <c r="AB116" s="416"/>
      <c r="AC116" s="136" t="s">
        <v>312</v>
      </c>
      <c r="AD116" s="415">
        <f>((4.8/2)+(4.8/2))*1</f>
        <v>4.8</v>
      </c>
      <c r="AE116" s="415">
        <f>IF(AD116="","",AD116*'Tabella Carichi Unitari'!$G$8)</f>
        <v>24.96</v>
      </c>
      <c r="AF116" s="415">
        <f>IF(AD116="","",AD116*'Tabella Carichi Unitari'!$H$8)</f>
        <v>14.399999999999999</v>
      </c>
      <c r="AG116" s="415">
        <f>IF(AD116="","",AD116*'Tabella Carichi Unitari'!$C$8)</f>
        <v>19.2</v>
      </c>
      <c r="AH116" s="109">
        <f>IF(AD116="","",AD116*'Tabella Carichi Unitari'!$K$8)</f>
        <v>2.88</v>
      </c>
      <c r="AI116" s="415">
        <f>AD116</f>
        <v>4.8</v>
      </c>
      <c r="AJ116" s="415">
        <f>IF(AI116="","",AI116*'Tabella Carichi Unitari'!$G$7)</f>
        <v>24.058943999999997</v>
      </c>
      <c r="AK116" s="415">
        <f>IF(AI116="","",AI116*'Tabella Carichi Unitari'!$H$7)</f>
        <v>23.04</v>
      </c>
      <c r="AL116" s="415">
        <f>IF(AI116="","",AI116*'Tabella Carichi Unitari'!$C$7)</f>
        <v>18.506879999999995</v>
      </c>
      <c r="AM116" s="109">
        <f>IF(AI116="","",AI116*'Tabella Carichi Unitari'!$K$7)</f>
        <v>8.6399999999999988</v>
      </c>
      <c r="AN116" s="415">
        <f>AD116</f>
        <v>4.8</v>
      </c>
      <c r="AO116" s="415">
        <f>IF(AN116="","",AN116*'Tabella Carichi Unitari'!$G$7)</f>
        <v>24.058943999999997</v>
      </c>
      <c r="AP116" s="415">
        <f>IF(AN116="","",AN116*'Tabella Carichi Unitari'!$H$7)</f>
        <v>23.04</v>
      </c>
      <c r="AQ116" s="415">
        <f>IF(AN116="","",AN116*'Tabella Carichi Unitari'!$C$7)</f>
        <v>18.506879999999995</v>
      </c>
      <c r="AR116" s="109">
        <f>IF(AN116="","",AN116*'Tabella Carichi Unitari'!$K$7)</f>
        <v>8.6399999999999988</v>
      </c>
      <c r="AS116" s="415">
        <f>AD116</f>
        <v>4.8</v>
      </c>
      <c r="AT116" s="415">
        <f>IF(AS116="","",AS116*'Tabella Carichi Unitari'!$G$7)</f>
        <v>24.058943999999997</v>
      </c>
      <c r="AU116" s="415">
        <f>IF(AS116="","",AS116*'Tabella Carichi Unitari'!$H$7)</f>
        <v>23.04</v>
      </c>
      <c r="AV116" s="415">
        <f>IF(AS116="","",AS116*'Tabella Carichi Unitari'!$C$7)</f>
        <v>18.506879999999995</v>
      </c>
      <c r="AW116" s="109">
        <f>IF(AS116="","",AS116*'Tabella Carichi Unitari'!$K$7)</f>
        <v>8.6399999999999988</v>
      </c>
      <c r="AX116" s="415">
        <f>AD116</f>
        <v>4.8</v>
      </c>
      <c r="AY116" s="415">
        <f>IF(AX116="","",AX116*'Tabella Carichi Unitari'!$G$7)</f>
        <v>24.058943999999997</v>
      </c>
      <c r="AZ116" s="415">
        <f>IF(AX116="","",AX116*'Tabella Carichi Unitari'!$H$7)</f>
        <v>23.04</v>
      </c>
      <c r="BA116" s="415">
        <f>IF(AX116="","",AX116*'Tabella Carichi Unitari'!$C$7)</f>
        <v>18.506879999999995</v>
      </c>
      <c r="BB116" s="109">
        <f>IF(AX116="","",AX116*'Tabella Carichi Unitari'!$K$7)</f>
        <v>8.6399999999999988</v>
      </c>
    </row>
    <row r="117" spans="1:54" x14ac:dyDescent="0.25">
      <c r="A117" s="136" t="s">
        <v>314</v>
      </c>
      <c r="B117" s="416"/>
      <c r="C117" s="415" t="str">
        <f>IF(B117="","",B117*'Tabella Carichi Unitari'!$G$11)</f>
        <v/>
      </c>
      <c r="D117" s="415" t="str">
        <f>IF(B117="","",B117*'Tabella Carichi Unitari'!$H$11)</f>
        <v/>
      </c>
      <c r="E117" s="415" t="str">
        <f>IF(B117="","",B117*'Tabella Carichi Unitari'!$C$11)</f>
        <v/>
      </c>
      <c r="F117" s="109" t="str">
        <f>IF(B117="","",B117*'Tabella Carichi Unitari'!$K$11)</f>
        <v/>
      </c>
      <c r="G117" s="416"/>
      <c r="H117" s="415" t="str">
        <f>IF(G117="","",G117*'Tabella Carichi Unitari'!$G$10)</f>
        <v/>
      </c>
      <c r="I117" s="415" t="str">
        <f>IF(G117="","",G117*'Tabella Carichi Unitari'!$H$10)</f>
        <v/>
      </c>
      <c r="J117" s="415" t="str">
        <f>IF(G117="","",G117*'Tabella Carichi Unitari'!$C$10)</f>
        <v/>
      </c>
      <c r="K117" s="109" t="str">
        <f>IF(G117="","",G117*'Tabella Carichi Unitari'!$K$10)</f>
        <v/>
      </c>
      <c r="L117" s="416"/>
      <c r="M117" s="415" t="str">
        <f>IF(L117="","",L117*'Tabella Carichi Unitari'!$G$10)</f>
        <v/>
      </c>
      <c r="N117" s="415" t="str">
        <f>IF(L117="","",L117*'Tabella Carichi Unitari'!$H$10)</f>
        <v/>
      </c>
      <c r="O117" s="415" t="str">
        <f>IF(L117="","",L117*'Tabella Carichi Unitari'!$C$10)</f>
        <v/>
      </c>
      <c r="P117" s="109" t="str">
        <f>IF(L117="","",L117*'Tabella Carichi Unitari'!$K$10)</f>
        <v/>
      </c>
      <c r="Q117" s="416"/>
      <c r="R117" s="415" t="str">
        <f>IF(Q117="","",Q117*'Tabella Carichi Unitari'!$G$10)</f>
        <v/>
      </c>
      <c r="S117" s="415" t="str">
        <f>IF(Q117="","",Q117*'Tabella Carichi Unitari'!$H$10)</f>
        <v/>
      </c>
      <c r="T117" s="415" t="str">
        <f>IF(Q117="","",Q117*'Tabella Carichi Unitari'!$C$10)</f>
        <v/>
      </c>
      <c r="U117" s="109" t="str">
        <f>IF(Q117="","",Q117*'Tabella Carichi Unitari'!$K$10)</f>
        <v/>
      </c>
      <c r="V117" s="416"/>
      <c r="W117" s="415" t="str">
        <f>IF(V117="","",V117*'Tabella Carichi Unitari'!$G$10)</f>
        <v/>
      </c>
      <c r="X117" s="415" t="str">
        <f>IF(V117="","",V117*'Tabella Carichi Unitari'!$H$10)</f>
        <v/>
      </c>
      <c r="Y117" s="415" t="str">
        <f>IF(V117="","",V117*'Tabella Carichi Unitari'!$C$10)</f>
        <v/>
      </c>
      <c r="Z117" s="109" t="str">
        <f>IF(V117="","",V117*'Tabella Carichi Unitari'!$K$10)</f>
        <v/>
      </c>
      <c r="AB117" s="416"/>
      <c r="AC117" s="136" t="s">
        <v>314</v>
      </c>
      <c r="AD117" s="416"/>
      <c r="AE117" s="415" t="str">
        <f>IF(AD117="","",AD117*'Tabella Carichi Unitari'!$G$11)</f>
        <v/>
      </c>
      <c r="AF117" s="415" t="str">
        <f>IF(AD117="","",AD117*'Tabella Carichi Unitari'!$H$11)</f>
        <v/>
      </c>
      <c r="AG117" s="415" t="str">
        <f>IF(AD117="","",AD117*'Tabella Carichi Unitari'!$C$11)</f>
        <v/>
      </c>
      <c r="AH117" s="109" t="str">
        <f>IF(AD117="","",AD117*'Tabella Carichi Unitari'!$K$11)</f>
        <v/>
      </c>
      <c r="AI117" s="416"/>
      <c r="AJ117" s="415" t="str">
        <f>IF(AI117="","",AI117*'Tabella Carichi Unitari'!$G$10)</f>
        <v/>
      </c>
      <c r="AK117" s="415" t="str">
        <f>IF(AI117="","",AI117*'Tabella Carichi Unitari'!$H$10)</f>
        <v/>
      </c>
      <c r="AL117" s="415" t="str">
        <f>IF(AI117="","",AI117*'Tabella Carichi Unitari'!$C$10)</f>
        <v/>
      </c>
      <c r="AM117" s="109" t="str">
        <f>IF(AI117="","",AI117*'Tabella Carichi Unitari'!$K$10)</f>
        <v/>
      </c>
      <c r="AN117" s="416"/>
      <c r="AO117" s="415" t="str">
        <f>IF(AN117="","",AN117*'Tabella Carichi Unitari'!$G$10)</f>
        <v/>
      </c>
      <c r="AP117" s="415" t="str">
        <f>IF(AN117="","",AN117*'Tabella Carichi Unitari'!$H$10)</f>
        <v/>
      </c>
      <c r="AQ117" s="415" t="str">
        <f>IF(AN117="","",AN117*'Tabella Carichi Unitari'!$C$10)</f>
        <v/>
      </c>
      <c r="AR117" s="109" t="str">
        <f>IF(AN117="","",AN117*'Tabella Carichi Unitari'!$K$10)</f>
        <v/>
      </c>
      <c r="AS117" s="416"/>
      <c r="AT117" s="415" t="str">
        <f>IF(AS117="","",AS117*'Tabella Carichi Unitari'!$G$10)</f>
        <v/>
      </c>
      <c r="AU117" s="415" t="str">
        <f>IF(AS117="","",AS117*'Tabella Carichi Unitari'!$H$10)</f>
        <v/>
      </c>
      <c r="AV117" s="415" t="str">
        <f>IF(AS117="","",AS117*'Tabella Carichi Unitari'!$C$10)</f>
        <v/>
      </c>
      <c r="AW117" s="109" t="str">
        <f>IF(AS117="","",AS117*'Tabella Carichi Unitari'!$K$10)</f>
        <v/>
      </c>
      <c r="AX117" s="416"/>
      <c r="AY117" s="415" t="str">
        <f>IF(AX117="","",AX117*'Tabella Carichi Unitari'!$G$10)</f>
        <v/>
      </c>
      <c r="AZ117" s="415" t="str">
        <f>IF(AX117="","",AX117*'Tabella Carichi Unitari'!$H$10)</f>
        <v/>
      </c>
      <c r="BA117" s="415" t="str">
        <f>IF(AX117="","",AX117*'Tabella Carichi Unitari'!$C$10)</f>
        <v/>
      </c>
      <c r="BB117" s="109" t="str">
        <f>IF(AX117="","",AX117*'Tabella Carichi Unitari'!$K$10)</f>
        <v/>
      </c>
    </row>
    <row r="118" spans="1:54" x14ac:dyDescent="0.25">
      <c r="A118" s="136" t="s">
        <v>315</v>
      </c>
      <c r="B118" s="416">
        <f>(4.7/2)*1.2</f>
        <v>2.82</v>
      </c>
      <c r="C118" s="415">
        <f>IF(B118="","",B118*'Tabella Carichi Unitari'!$G$12)</f>
        <v>17.596799999999998</v>
      </c>
      <c r="D118" s="415">
        <f>IF(B118="","",B118*'Tabella Carichi Unitari'!$H$12)</f>
        <v>16.919999999999998</v>
      </c>
      <c r="E118" s="415">
        <f>IF(B118="","",B118*'Tabella Carichi Unitari'!$C$12)</f>
        <v>13.536</v>
      </c>
      <c r="F118" s="109">
        <f>IF(B118="","",B118*'Tabella Carichi Unitari'!$K$12)</f>
        <v>6.7679999999999998</v>
      </c>
      <c r="G118" s="416">
        <f>(4.7/2)*1.2</f>
        <v>2.82</v>
      </c>
      <c r="H118" s="415">
        <f>IF(G118="","",G118*'Tabella Carichi Unitari'!$G$12)</f>
        <v>17.596799999999998</v>
      </c>
      <c r="I118" s="415">
        <f>IF(G118="","",G118*'Tabella Carichi Unitari'!$H$12)</f>
        <v>16.919999999999998</v>
      </c>
      <c r="J118" s="415">
        <f>IF(G118="","",G118*'Tabella Carichi Unitari'!$C$12)</f>
        <v>13.536</v>
      </c>
      <c r="K118" s="109">
        <f>IF(G118="","",G118*'Tabella Carichi Unitari'!$K$12)</f>
        <v>6.7679999999999998</v>
      </c>
      <c r="L118" s="416">
        <f>(4.7/2)*1.2</f>
        <v>2.82</v>
      </c>
      <c r="M118" s="415">
        <f>IF(L118="","",L118*'Tabella Carichi Unitari'!$G$12)</f>
        <v>17.596799999999998</v>
      </c>
      <c r="N118" s="415">
        <f>IF(L118="","",L118*'Tabella Carichi Unitari'!$H$12)</f>
        <v>16.919999999999998</v>
      </c>
      <c r="O118" s="415">
        <f>IF(L118="","",L118*'Tabella Carichi Unitari'!$C$12)</f>
        <v>13.536</v>
      </c>
      <c r="P118" s="109">
        <f>IF(L118="","",L118*'Tabella Carichi Unitari'!$K$12)</f>
        <v>6.7679999999999998</v>
      </c>
      <c r="Q118" s="416">
        <f>(4.7/2)*1.2</f>
        <v>2.82</v>
      </c>
      <c r="R118" s="415">
        <f>IF(Q118="","",Q118*'Tabella Carichi Unitari'!$G$12)</f>
        <v>17.596799999999998</v>
      </c>
      <c r="S118" s="415">
        <f>IF(Q118="","",Q118*'Tabella Carichi Unitari'!$H$12)</f>
        <v>16.919999999999998</v>
      </c>
      <c r="T118" s="415">
        <f>IF(Q118="","",Q118*'Tabella Carichi Unitari'!$C$12)</f>
        <v>13.536</v>
      </c>
      <c r="U118" s="109">
        <f>IF(Q118="","",Q118*'Tabella Carichi Unitari'!$K$12)</f>
        <v>6.7679999999999998</v>
      </c>
      <c r="V118" s="416">
        <f>(4.7/2)*1.2</f>
        <v>2.82</v>
      </c>
      <c r="W118" s="415">
        <f>IF(V118="","",V118*'Tabella Carichi Unitari'!$G$12)</f>
        <v>17.596799999999998</v>
      </c>
      <c r="X118" s="415">
        <f>IF(V118="","",V118*'Tabella Carichi Unitari'!$H$12)</f>
        <v>16.919999999999998</v>
      </c>
      <c r="Y118" s="415">
        <f>IF(V118="","",V118*'Tabella Carichi Unitari'!$C$12)</f>
        <v>13.536</v>
      </c>
      <c r="Z118" s="109">
        <f>IF(V118="","",V118*'Tabella Carichi Unitari'!$K$12)</f>
        <v>6.7679999999999998</v>
      </c>
      <c r="AB118" s="416"/>
      <c r="AC118" s="136" t="s">
        <v>315</v>
      </c>
      <c r="AD118" s="416"/>
      <c r="AE118" s="415" t="str">
        <f>IF(AD118="","",AD118*'Tabella Carichi Unitari'!$G$12)</f>
        <v/>
      </c>
      <c r="AF118" s="415" t="str">
        <f>IF(AD118="","",AD118*'Tabella Carichi Unitari'!$H$12)</f>
        <v/>
      </c>
      <c r="AG118" s="415" t="str">
        <f>IF(AD118="","",AD118*'Tabella Carichi Unitari'!$C$12)</f>
        <v/>
      </c>
      <c r="AH118" s="109" t="str">
        <f>IF(AD118="","",AD118*'Tabella Carichi Unitari'!$K$12)</f>
        <v/>
      </c>
      <c r="AI118" s="416"/>
      <c r="AJ118" s="415" t="str">
        <f>IF(AI118="","",AI118*'Tabella Carichi Unitari'!$G$12)</f>
        <v/>
      </c>
      <c r="AK118" s="415" t="str">
        <f>IF(AI118="","",AI118*'Tabella Carichi Unitari'!$H$12)</f>
        <v/>
      </c>
      <c r="AL118" s="415" t="str">
        <f>IF(AI118="","",AI118*'Tabella Carichi Unitari'!$C$12)</f>
        <v/>
      </c>
      <c r="AM118" s="109" t="str">
        <f>IF(AI118="","",AI118*'Tabella Carichi Unitari'!$K$12)</f>
        <v/>
      </c>
      <c r="AN118" s="416"/>
      <c r="AO118" s="415" t="str">
        <f>IF(AN118="","",AN118*'Tabella Carichi Unitari'!$G$12)</f>
        <v/>
      </c>
      <c r="AP118" s="415" t="str">
        <f>IF(AN118="","",AN118*'Tabella Carichi Unitari'!$H$12)</f>
        <v/>
      </c>
      <c r="AQ118" s="415" t="str">
        <f>IF(AN118="","",AN118*'Tabella Carichi Unitari'!$C$12)</f>
        <v/>
      </c>
      <c r="AR118" s="109" t="str">
        <f>IF(AN118="","",AN118*'Tabella Carichi Unitari'!$K$12)</f>
        <v/>
      </c>
      <c r="AS118" s="416"/>
      <c r="AT118" s="415" t="str">
        <f>IF(AS118="","",AS118*'Tabella Carichi Unitari'!$G$12)</f>
        <v/>
      </c>
      <c r="AU118" s="415" t="str">
        <f>IF(AS118="","",AS118*'Tabella Carichi Unitari'!$H$12)</f>
        <v/>
      </c>
      <c r="AV118" s="415" t="str">
        <f>IF(AS118="","",AS118*'Tabella Carichi Unitari'!$C$12)</f>
        <v/>
      </c>
      <c r="AW118" s="109" t="str">
        <f>IF(AS118="","",AS118*'Tabella Carichi Unitari'!$K$12)</f>
        <v/>
      </c>
      <c r="AX118" s="416"/>
      <c r="AY118" s="415" t="str">
        <f>IF(AX118="","",AX118*'Tabella Carichi Unitari'!$G$12)</f>
        <v/>
      </c>
      <c r="AZ118" s="415" t="str">
        <f>IF(AX118="","",AX118*'Tabella Carichi Unitari'!$H$12)</f>
        <v/>
      </c>
      <c r="BA118" s="415" t="str">
        <f>IF(AX118="","",AX118*'Tabella Carichi Unitari'!$C$12)</f>
        <v/>
      </c>
      <c r="BB118" s="109" t="str">
        <f>IF(AX118="","",AX118*'Tabella Carichi Unitari'!$K$12)</f>
        <v/>
      </c>
    </row>
    <row r="119" spans="1:54" x14ac:dyDescent="0.25">
      <c r="A119" s="136" t="s">
        <v>391</v>
      </c>
      <c r="B119" s="416">
        <v>1</v>
      </c>
      <c r="C119" s="415">
        <f>IF(B119="","",B119*'Tabella Carichi Unitari'!$G$15)</f>
        <v>3.8415000000000004</v>
      </c>
      <c r="D119" s="415">
        <f>IF(B119="","",B119*'Tabella Carichi Unitari'!$H$15)</f>
        <v>0</v>
      </c>
      <c r="E119" s="415">
        <f>IF(B119="","",B119*'Tabella Carichi Unitari'!$C$15)</f>
        <v>2.9550000000000001</v>
      </c>
      <c r="F119" s="109">
        <f>IF(B119="","",B119*'Tabella Carichi Unitari'!$K$15)</f>
        <v>0</v>
      </c>
      <c r="G119" s="416">
        <v>1</v>
      </c>
      <c r="H119" s="415">
        <f>IF(G119="","",G119*'Tabella Carichi Unitari'!$G$14)</f>
        <v>4.8165000000000004</v>
      </c>
      <c r="I119" s="415">
        <f>IF(G119="","",G119*'Tabella Carichi Unitari'!$H$14)</f>
        <v>0</v>
      </c>
      <c r="J119" s="415">
        <f>IF(G119="","",G119*'Tabella Carichi Unitari'!$C$14)</f>
        <v>3.7050000000000001</v>
      </c>
      <c r="K119" s="109">
        <f>IF(G119="","",G119*'Tabella Carichi Unitari'!$K$14)</f>
        <v>0</v>
      </c>
      <c r="L119" s="416">
        <v>1</v>
      </c>
      <c r="M119" s="415">
        <f>IF(L119="","",L119*'Tabella Carichi Unitari'!$G$13)</f>
        <v>5.7915000000000001</v>
      </c>
      <c r="N119" s="415">
        <f>IF(L119="","",L119*'Tabella Carichi Unitari'!$H$13)</f>
        <v>0</v>
      </c>
      <c r="O119" s="415">
        <f>IF(L119="","",L119*'Tabella Carichi Unitari'!$C$13)</f>
        <v>4.4550000000000001</v>
      </c>
      <c r="P119" s="109">
        <f>IF(L119="","",L119*'Tabella Carichi Unitari'!$K$13)</f>
        <v>0</v>
      </c>
      <c r="Q119" s="416">
        <v>1</v>
      </c>
      <c r="R119" s="415">
        <f>IF(Q119="","",Q119*'Tabella Carichi Unitari'!$G$13)</f>
        <v>5.7915000000000001</v>
      </c>
      <c r="S119" s="415">
        <f>IF(Q119="","",Q119*'Tabella Carichi Unitari'!$H$13)</f>
        <v>0</v>
      </c>
      <c r="T119" s="415">
        <f>IF(Q119="","",Q119*'Tabella Carichi Unitari'!$C$13)</f>
        <v>4.4550000000000001</v>
      </c>
      <c r="U119" s="109">
        <f>IF(Q119="","",Q119*'Tabella Carichi Unitari'!$K$13)</f>
        <v>0</v>
      </c>
      <c r="V119" s="416">
        <v>1</v>
      </c>
      <c r="W119" s="415">
        <f>IF(V119="","",V119*'Tabella Carichi Unitari'!$G$13)</f>
        <v>5.7915000000000001</v>
      </c>
      <c r="X119" s="415">
        <f>IF(V119="","",V119*'Tabella Carichi Unitari'!$H$13)</f>
        <v>0</v>
      </c>
      <c r="Y119" s="415">
        <f>IF(V119="","",V119*'Tabella Carichi Unitari'!$C$13)</f>
        <v>4.4550000000000001</v>
      </c>
      <c r="Z119" s="109">
        <f>IF(V119="","",V119*'Tabella Carichi Unitari'!$K$13)</f>
        <v>0</v>
      </c>
      <c r="AB119" s="416"/>
      <c r="AC119" s="136" t="s">
        <v>391</v>
      </c>
      <c r="AD119" s="416">
        <v>1</v>
      </c>
      <c r="AE119" s="415">
        <f>IF(AD119="","",AD119*'Tabella Carichi Unitari'!$G$15)</f>
        <v>3.8415000000000004</v>
      </c>
      <c r="AF119" s="415">
        <f>IF(AD119="","",AD119*'Tabella Carichi Unitari'!$H$15)</f>
        <v>0</v>
      </c>
      <c r="AG119" s="415">
        <f>IF(AD119="","",AD119*'Tabella Carichi Unitari'!$C$15)</f>
        <v>2.9550000000000001</v>
      </c>
      <c r="AH119" s="109">
        <f>IF(AD119="","",AD119*'Tabella Carichi Unitari'!$K$15)</f>
        <v>0</v>
      </c>
      <c r="AI119" s="416">
        <v>1</v>
      </c>
      <c r="AJ119" s="415">
        <f>IF(AI119="","",AI119*'Tabella Carichi Unitari'!$G$14)</f>
        <v>4.8165000000000004</v>
      </c>
      <c r="AK119" s="415">
        <f>IF(AI119="","",AI119*'Tabella Carichi Unitari'!$H$14)</f>
        <v>0</v>
      </c>
      <c r="AL119" s="415">
        <f>IF(AI119="","",AI119*'Tabella Carichi Unitari'!$C$14)</f>
        <v>3.7050000000000001</v>
      </c>
      <c r="AM119" s="109">
        <f>IF(AI119="","",AI119*'Tabella Carichi Unitari'!$K$14)</f>
        <v>0</v>
      </c>
      <c r="AN119" s="416">
        <v>1</v>
      </c>
      <c r="AO119" s="415">
        <f>IF(AN119="","",AN119*'Tabella Carichi Unitari'!$G$13)</f>
        <v>5.7915000000000001</v>
      </c>
      <c r="AP119" s="415">
        <f>IF(AN119="","",AN119*'Tabella Carichi Unitari'!$H$13)</f>
        <v>0</v>
      </c>
      <c r="AQ119" s="415">
        <f>IF(AN119="","",AN119*'Tabella Carichi Unitari'!$C$13)</f>
        <v>4.4550000000000001</v>
      </c>
      <c r="AR119" s="109">
        <f>IF(AN119="","",AN119*'Tabella Carichi Unitari'!$K$13)</f>
        <v>0</v>
      </c>
      <c r="AS119" s="416">
        <v>1</v>
      </c>
      <c r="AT119" s="415">
        <f>IF(AS119="","",AS119*'Tabella Carichi Unitari'!$G$13)</f>
        <v>5.7915000000000001</v>
      </c>
      <c r="AU119" s="415">
        <f>IF(AS119="","",AS119*'Tabella Carichi Unitari'!$H$13)</f>
        <v>0</v>
      </c>
      <c r="AV119" s="415">
        <f>IF(AS119="","",AS119*'Tabella Carichi Unitari'!$C$13)</f>
        <v>4.4550000000000001</v>
      </c>
      <c r="AW119" s="109">
        <f>IF(AS119="","",AS119*'Tabella Carichi Unitari'!$K$13)</f>
        <v>0</v>
      </c>
      <c r="AX119" s="416">
        <v>1</v>
      </c>
      <c r="AY119" s="415">
        <f>IF(AX119="","",AX119*'Tabella Carichi Unitari'!$G$13)</f>
        <v>5.7915000000000001</v>
      </c>
      <c r="AZ119" s="415">
        <f>IF(AX119="","",AX119*'Tabella Carichi Unitari'!$H$13)</f>
        <v>0</v>
      </c>
      <c r="BA119" s="415">
        <f>IF(AX119="","",AX119*'Tabella Carichi Unitari'!$C$13)</f>
        <v>4.4550000000000001</v>
      </c>
      <c r="BB119" s="109">
        <f>IF(AX119="","",AX119*'Tabella Carichi Unitari'!$K$13)</f>
        <v>0</v>
      </c>
    </row>
    <row r="120" spans="1:54" x14ac:dyDescent="0.25">
      <c r="A120" s="136" t="s">
        <v>392</v>
      </c>
      <c r="B120" s="416"/>
      <c r="C120" s="415" t="str">
        <f>IF(B120="","",B120*'Tabella Carichi Unitari'!$G$16)</f>
        <v/>
      </c>
      <c r="D120" s="415" t="str">
        <f>IF(B120="","",B120*'Tabella Carichi Unitari'!$H$16)</f>
        <v/>
      </c>
      <c r="E120" s="415" t="str">
        <f>IF(B120="","",B120*'Tabella Carichi Unitari'!$C$16)</f>
        <v/>
      </c>
      <c r="F120" s="109" t="str">
        <f>IF(B120="","",B120*'Tabella Carichi Unitari'!$K$16)</f>
        <v/>
      </c>
      <c r="G120" s="416"/>
      <c r="H120" s="415" t="str">
        <f>IF(G120="","",G120*'Tabella Carichi Unitari'!$G$16)</f>
        <v/>
      </c>
      <c r="I120" s="415" t="str">
        <f>IF(G120="","",G120*'Tabella Carichi Unitari'!$H$16)</f>
        <v/>
      </c>
      <c r="J120" s="415" t="str">
        <f>IF(G120="","",G120*'Tabella Carichi Unitari'!$C$16)</f>
        <v/>
      </c>
      <c r="K120" s="109" t="str">
        <f>IF(G120="","",G120*'Tabella Carichi Unitari'!$K$16)</f>
        <v/>
      </c>
      <c r="L120" s="416"/>
      <c r="M120" s="415" t="str">
        <f>IF(L120="","",L120*'Tabella Carichi Unitari'!$G$16)</f>
        <v/>
      </c>
      <c r="N120" s="415" t="str">
        <f>IF(L120="","",L120*'Tabella Carichi Unitari'!$H$16)</f>
        <v/>
      </c>
      <c r="O120" s="415" t="str">
        <f>IF(L120="","",L120*'Tabella Carichi Unitari'!$C$16)</f>
        <v/>
      </c>
      <c r="P120" s="109" t="str">
        <f>IF(L120="","",L120*'Tabella Carichi Unitari'!$K$16)</f>
        <v/>
      </c>
      <c r="Q120" s="416"/>
      <c r="R120" s="415" t="str">
        <f>IF(Q120="","",Q120*'Tabella Carichi Unitari'!$G$16)</f>
        <v/>
      </c>
      <c r="S120" s="415" t="str">
        <f>IF(Q120="","",Q120*'Tabella Carichi Unitari'!$H$16)</f>
        <v/>
      </c>
      <c r="T120" s="415" t="str">
        <f>IF(Q120="","",Q120*'Tabella Carichi Unitari'!$C$16)</f>
        <v/>
      </c>
      <c r="U120" s="109" t="str">
        <f>IF(Q120="","",Q120*'Tabella Carichi Unitari'!$K$16)</f>
        <v/>
      </c>
      <c r="V120" s="416"/>
      <c r="W120" s="415" t="str">
        <f>IF(V120="","",V120*'Tabella Carichi Unitari'!$G$16)</f>
        <v/>
      </c>
      <c r="X120" s="415" t="str">
        <f>IF(V120="","",V120*'Tabella Carichi Unitari'!$H$16)</f>
        <v/>
      </c>
      <c r="Y120" s="415" t="str">
        <f>IF(V120="","",V120*'Tabella Carichi Unitari'!$C$16)</f>
        <v/>
      </c>
      <c r="Z120" s="109" t="str">
        <f>IF(V120="","",V120*'Tabella Carichi Unitari'!$K$16)</f>
        <v/>
      </c>
      <c r="AB120" s="416"/>
      <c r="AC120" s="136" t="s">
        <v>392</v>
      </c>
      <c r="AD120" s="416"/>
      <c r="AE120" s="415" t="str">
        <f>IF(AD120="","",AD120*'Tabella Carichi Unitari'!$G$16)</f>
        <v/>
      </c>
      <c r="AF120" s="415" t="str">
        <f>IF(AD120="","",AD120*'Tabella Carichi Unitari'!$H$16)</f>
        <v/>
      </c>
      <c r="AG120" s="415" t="str">
        <f>IF(AD120="","",AD120*'Tabella Carichi Unitari'!$C$16)</f>
        <v/>
      </c>
      <c r="AH120" s="109" t="str">
        <f>IF(AD120="","",AD120*'Tabella Carichi Unitari'!$K$16)</f>
        <v/>
      </c>
      <c r="AI120" s="416"/>
      <c r="AJ120" s="415" t="str">
        <f>IF(AI120="","",AI120*'Tabella Carichi Unitari'!$G$16)</f>
        <v/>
      </c>
      <c r="AK120" s="415" t="str">
        <f>IF(AI120="","",AI120*'Tabella Carichi Unitari'!$H$16)</f>
        <v/>
      </c>
      <c r="AL120" s="415" t="str">
        <f>IF(AI120="","",AI120*'Tabella Carichi Unitari'!$C$16)</f>
        <v/>
      </c>
      <c r="AM120" s="109" t="str">
        <f>IF(AI120="","",AI120*'Tabella Carichi Unitari'!$K$16)</f>
        <v/>
      </c>
      <c r="AN120" s="416"/>
      <c r="AO120" s="415" t="str">
        <f>IF(AN120="","",AN120*'Tabella Carichi Unitari'!$G$16)</f>
        <v/>
      </c>
      <c r="AP120" s="415" t="str">
        <f>IF(AN120="","",AN120*'Tabella Carichi Unitari'!$H$16)</f>
        <v/>
      </c>
      <c r="AQ120" s="415" t="str">
        <f>IF(AN120="","",AN120*'Tabella Carichi Unitari'!$C$16)</f>
        <v/>
      </c>
      <c r="AR120" s="109" t="str">
        <f>IF(AN120="","",AN120*'Tabella Carichi Unitari'!$K$16)</f>
        <v/>
      </c>
      <c r="AS120" s="416"/>
      <c r="AT120" s="415" t="str">
        <f>IF(AS120="","",AS120*'Tabella Carichi Unitari'!$G$16)</f>
        <v/>
      </c>
      <c r="AU120" s="415" t="str">
        <f>IF(AS120="","",AS120*'Tabella Carichi Unitari'!$H$16)</f>
        <v/>
      </c>
      <c r="AV120" s="415" t="str">
        <f>IF(AS120="","",AS120*'Tabella Carichi Unitari'!$C$16)</f>
        <v/>
      </c>
      <c r="AW120" s="109" t="str">
        <f>IF(AS120="","",AS120*'Tabella Carichi Unitari'!$K$16)</f>
        <v/>
      </c>
      <c r="AX120" s="416"/>
      <c r="AY120" s="415" t="str">
        <f>IF(AX120="","",AX120*'Tabella Carichi Unitari'!$G$16)</f>
        <v/>
      </c>
      <c r="AZ120" s="415" t="str">
        <f>IF(AX120="","",AX120*'Tabella Carichi Unitari'!$H$16)</f>
        <v/>
      </c>
      <c r="BA120" s="415" t="str">
        <f>IF(AX120="","",AX120*'Tabella Carichi Unitari'!$C$16)</f>
        <v/>
      </c>
      <c r="BB120" s="109" t="str">
        <f>IF(AX120="","",AX120*'Tabella Carichi Unitari'!$K$16)</f>
        <v/>
      </c>
    </row>
    <row r="121" spans="1:54" x14ac:dyDescent="0.25">
      <c r="A121" s="136" t="s">
        <v>313</v>
      </c>
      <c r="B121" s="416"/>
      <c r="C121" s="168" t="str">
        <f>IF(B121="","",B121*'Tabella Carichi Unitari'!$G$17)</f>
        <v/>
      </c>
      <c r="D121" s="168" t="str">
        <f>IF(B121="","",B121*'Tabella Carichi Unitari'!$H$17)</f>
        <v/>
      </c>
      <c r="E121" s="168" t="str">
        <f>IF(B121="","",B121*'Tabella Carichi Unitari'!$C$17)</f>
        <v/>
      </c>
      <c r="F121" s="110" t="str">
        <f>IF(B121="","",B121*'Tabella Carichi Unitari'!$K$17)</f>
        <v/>
      </c>
      <c r="G121" s="416"/>
      <c r="H121" s="168" t="str">
        <f>IF(G121="","",G121*'Tabella Carichi Unitari'!$G$17)</f>
        <v/>
      </c>
      <c r="I121" s="168" t="str">
        <f>IF(G121="","",G121*'Tabella Carichi Unitari'!$H$17)</f>
        <v/>
      </c>
      <c r="J121" s="168" t="str">
        <f>IF(G121="","",G121*'Tabella Carichi Unitari'!$C$17)</f>
        <v/>
      </c>
      <c r="K121" s="110" t="str">
        <f>IF(G121="","",G121*'Tabella Carichi Unitari'!$K$17)</f>
        <v/>
      </c>
      <c r="L121" s="416"/>
      <c r="M121" s="168" t="str">
        <f>IF(L121="","",L121*'Tabella Carichi Unitari'!$G$17)</f>
        <v/>
      </c>
      <c r="N121" s="168" t="str">
        <f>IF(L121="","",L121*'Tabella Carichi Unitari'!$H$17)</f>
        <v/>
      </c>
      <c r="O121" s="168" t="str">
        <f>IF(L121="","",L121*'Tabella Carichi Unitari'!$C$17)</f>
        <v/>
      </c>
      <c r="P121" s="110" t="str">
        <f>IF(L121="","",L121*'Tabella Carichi Unitari'!$K$17)</f>
        <v/>
      </c>
      <c r="Q121" s="416"/>
      <c r="R121" s="168" t="str">
        <f>IF(Q121="","",Q121*'Tabella Carichi Unitari'!$G$17)</f>
        <v/>
      </c>
      <c r="S121" s="168" t="str">
        <f>IF(Q121="","",Q121*'Tabella Carichi Unitari'!$H$17)</f>
        <v/>
      </c>
      <c r="T121" s="168" t="str">
        <f>IF(Q121="","",Q121*'Tabella Carichi Unitari'!$C$17)</f>
        <v/>
      </c>
      <c r="U121" s="110" t="str">
        <f>IF(Q121="","",Q121*'Tabella Carichi Unitari'!$K$17)</f>
        <v/>
      </c>
      <c r="V121" s="416"/>
      <c r="W121" s="168" t="str">
        <f>IF(V121="","",V121*'Tabella Carichi Unitari'!$G$17)</f>
        <v/>
      </c>
      <c r="X121" s="168" t="str">
        <f>IF(V121="","",V121*'Tabella Carichi Unitari'!$H$17)</f>
        <v/>
      </c>
      <c r="Y121" s="168" t="str">
        <f>IF(V121="","",V121*'Tabella Carichi Unitari'!$C$17)</f>
        <v/>
      </c>
      <c r="Z121" s="110" t="str">
        <f>IF(V121="","",V121*'Tabella Carichi Unitari'!$K$17)</f>
        <v/>
      </c>
      <c r="AB121" s="416"/>
      <c r="AC121" s="136" t="s">
        <v>313</v>
      </c>
      <c r="AD121" s="416"/>
      <c r="AE121" s="168" t="str">
        <f>IF(AD121="","",AD121*'Tabella Carichi Unitari'!$G$17)</f>
        <v/>
      </c>
      <c r="AF121" s="168" t="str">
        <f>IF(AD121="","",AD121*'Tabella Carichi Unitari'!$H$17)</f>
        <v/>
      </c>
      <c r="AG121" s="168" t="str">
        <f>IF(AD121="","",AD121*'Tabella Carichi Unitari'!$C$17)</f>
        <v/>
      </c>
      <c r="AH121" s="110" t="str">
        <f>IF(AD121="","",AD121*'Tabella Carichi Unitari'!$K$17)</f>
        <v/>
      </c>
      <c r="AI121" s="416"/>
      <c r="AJ121" s="168" t="str">
        <f>IF(AI121="","",AI121*'Tabella Carichi Unitari'!$G$17)</f>
        <v/>
      </c>
      <c r="AK121" s="168" t="str">
        <f>IF(AI121="","",AI121*'Tabella Carichi Unitari'!$H$17)</f>
        <v/>
      </c>
      <c r="AL121" s="168" t="str">
        <f>IF(AI121="","",AI121*'Tabella Carichi Unitari'!$C$17)</f>
        <v/>
      </c>
      <c r="AM121" s="110" t="str">
        <f>IF(AI121="","",AI121*'Tabella Carichi Unitari'!$K$17)</f>
        <v/>
      </c>
      <c r="AN121" s="416"/>
      <c r="AO121" s="168" t="str">
        <f>IF(AN121="","",AN121*'Tabella Carichi Unitari'!$G$17)</f>
        <v/>
      </c>
      <c r="AP121" s="168" t="str">
        <f>IF(AN121="","",AN121*'Tabella Carichi Unitari'!$H$17)</f>
        <v/>
      </c>
      <c r="AQ121" s="168" t="str">
        <f>IF(AN121="","",AN121*'Tabella Carichi Unitari'!$C$17)</f>
        <v/>
      </c>
      <c r="AR121" s="110" t="str">
        <f>IF(AN121="","",AN121*'Tabella Carichi Unitari'!$K$17)</f>
        <v/>
      </c>
      <c r="AS121" s="416"/>
      <c r="AT121" s="168" t="str">
        <f>IF(AS121="","",AS121*'Tabella Carichi Unitari'!$G$17)</f>
        <v/>
      </c>
      <c r="AU121" s="168" t="str">
        <f>IF(AS121="","",AS121*'Tabella Carichi Unitari'!$H$17)</f>
        <v/>
      </c>
      <c r="AV121" s="168" t="str">
        <f>IF(AS121="","",AS121*'Tabella Carichi Unitari'!$C$17)</f>
        <v/>
      </c>
      <c r="AW121" s="110" t="str">
        <f>IF(AS121="","",AS121*'Tabella Carichi Unitari'!$K$17)</f>
        <v/>
      </c>
      <c r="AX121" s="416"/>
      <c r="AY121" s="168" t="str">
        <f>IF(AX121="","",AX121*'Tabella Carichi Unitari'!$G$17)</f>
        <v/>
      </c>
      <c r="AZ121" s="168" t="str">
        <f>IF(AX121="","",AX121*'Tabella Carichi Unitari'!$H$17)</f>
        <v/>
      </c>
      <c r="BA121" s="168" t="str">
        <f>IF(AX121="","",AX121*'Tabella Carichi Unitari'!$C$17)</f>
        <v/>
      </c>
      <c r="BB121" s="110" t="str">
        <f>IF(AX121="","",AX121*'Tabella Carichi Unitari'!$K$17)</f>
        <v/>
      </c>
    </row>
    <row r="122" spans="1:54" x14ac:dyDescent="0.25">
      <c r="A122" s="413"/>
      <c r="B122" s="416"/>
      <c r="C122" s="415">
        <f>SUM(C116:C121)</f>
        <v>24.0383</v>
      </c>
      <c r="D122" s="415">
        <f t="shared" ref="D122:Z122" si="64">SUM(D116:D121)</f>
        <v>18.419999999999998</v>
      </c>
      <c r="E122" s="415">
        <f t="shared" si="64"/>
        <v>18.491</v>
      </c>
      <c r="F122" s="415">
        <f t="shared" si="64"/>
        <v>7.0679999999999996</v>
      </c>
      <c r="G122" s="415"/>
      <c r="H122" s="415">
        <f t="shared" si="64"/>
        <v>24.919439999999998</v>
      </c>
      <c r="I122" s="415">
        <f t="shared" si="64"/>
        <v>19.319999999999997</v>
      </c>
      <c r="J122" s="415">
        <f t="shared" si="64"/>
        <v>19.168799999999997</v>
      </c>
      <c r="K122" s="415">
        <f t="shared" si="64"/>
        <v>7.6679999999999993</v>
      </c>
      <c r="L122" s="415"/>
      <c r="M122" s="415">
        <f t="shared" si="64"/>
        <v>25.894439999999996</v>
      </c>
      <c r="N122" s="415">
        <f t="shared" si="64"/>
        <v>19.319999999999997</v>
      </c>
      <c r="O122" s="415">
        <f t="shared" si="64"/>
        <v>19.918799999999997</v>
      </c>
      <c r="P122" s="415">
        <f t="shared" si="64"/>
        <v>7.6679999999999993</v>
      </c>
      <c r="Q122" s="415"/>
      <c r="R122" s="415">
        <f t="shared" si="64"/>
        <v>25.894439999999996</v>
      </c>
      <c r="S122" s="415">
        <f t="shared" si="64"/>
        <v>19.319999999999997</v>
      </c>
      <c r="T122" s="415">
        <f t="shared" si="64"/>
        <v>19.918799999999997</v>
      </c>
      <c r="U122" s="415">
        <f t="shared" si="64"/>
        <v>7.6679999999999993</v>
      </c>
      <c r="V122" s="415"/>
      <c r="W122" s="415">
        <f t="shared" si="64"/>
        <v>25.894439999999996</v>
      </c>
      <c r="X122" s="415">
        <f t="shared" si="64"/>
        <v>19.319999999999997</v>
      </c>
      <c r="Y122" s="415">
        <f t="shared" si="64"/>
        <v>19.918799999999997</v>
      </c>
      <c r="Z122" s="415">
        <f t="shared" si="64"/>
        <v>7.6679999999999993</v>
      </c>
      <c r="AB122" s="416"/>
      <c r="AC122" s="136"/>
      <c r="AD122" s="416"/>
      <c r="AE122" s="415">
        <f>SUM(AE116:AE121)</f>
        <v>28.801500000000001</v>
      </c>
      <c r="AF122" s="415">
        <f t="shared" ref="AF122:AH122" si="65">SUM(AF116:AF121)</f>
        <v>14.399999999999999</v>
      </c>
      <c r="AG122" s="415">
        <f t="shared" si="65"/>
        <v>22.155000000000001</v>
      </c>
      <c r="AH122" s="415">
        <f t="shared" si="65"/>
        <v>2.88</v>
      </c>
      <c r="AI122" s="415"/>
      <c r="AJ122" s="415">
        <f t="shared" ref="AJ122:AM122" si="66">SUM(AJ116:AJ121)</f>
        <v>28.875443999999998</v>
      </c>
      <c r="AK122" s="415">
        <f t="shared" si="66"/>
        <v>23.04</v>
      </c>
      <c r="AL122" s="415">
        <f t="shared" si="66"/>
        <v>22.211879999999994</v>
      </c>
      <c r="AM122" s="415">
        <f t="shared" si="66"/>
        <v>8.6399999999999988</v>
      </c>
      <c r="AN122" s="415"/>
      <c r="AO122" s="415">
        <f t="shared" ref="AO122:AR122" si="67">SUM(AO116:AO121)</f>
        <v>29.850443999999996</v>
      </c>
      <c r="AP122" s="415">
        <f t="shared" si="67"/>
        <v>23.04</v>
      </c>
      <c r="AQ122" s="415">
        <f t="shared" si="67"/>
        <v>22.961879999999994</v>
      </c>
      <c r="AR122" s="415">
        <f t="shared" si="67"/>
        <v>8.6399999999999988</v>
      </c>
      <c r="AS122" s="415"/>
      <c r="AT122" s="415">
        <f t="shared" ref="AT122:AW122" si="68">SUM(AT116:AT121)</f>
        <v>29.850443999999996</v>
      </c>
      <c r="AU122" s="415">
        <f t="shared" si="68"/>
        <v>23.04</v>
      </c>
      <c r="AV122" s="415">
        <f t="shared" si="68"/>
        <v>22.961879999999994</v>
      </c>
      <c r="AW122" s="415">
        <f t="shared" si="68"/>
        <v>8.6399999999999988</v>
      </c>
      <c r="AX122" s="415"/>
      <c r="AY122" s="415">
        <f t="shared" ref="AY122:BB122" si="69">SUM(AY116:AY121)</f>
        <v>29.850443999999996</v>
      </c>
      <c r="AZ122" s="415">
        <f t="shared" si="69"/>
        <v>23.04</v>
      </c>
      <c r="BA122" s="415">
        <f t="shared" si="69"/>
        <v>22.961879999999994</v>
      </c>
      <c r="BB122" s="415">
        <f t="shared" si="69"/>
        <v>8.6399999999999988</v>
      </c>
    </row>
    <row r="123" spans="1:54" x14ac:dyDescent="0.25">
      <c r="B123" s="416"/>
      <c r="C123" s="612">
        <f>C122+D122</f>
        <v>42.458299999999994</v>
      </c>
      <c r="D123" s="612"/>
      <c r="E123" s="612">
        <f>E122+F122</f>
        <v>25.558999999999997</v>
      </c>
      <c r="F123" s="612"/>
      <c r="G123" s="416"/>
      <c r="H123" s="612">
        <f>H122+I122</f>
        <v>44.239439999999995</v>
      </c>
      <c r="I123" s="612"/>
      <c r="J123" s="612">
        <f>J122+K122</f>
        <v>26.836799999999997</v>
      </c>
      <c r="K123" s="612"/>
      <c r="L123" s="416"/>
      <c r="M123" s="612">
        <f>M122+N122</f>
        <v>45.214439999999996</v>
      </c>
      <c r="N123" s="612"/>
      <c r="O123" s="612">
        <f>O122+P122</f>
        <v>27.586799999999997</v>
      </c>
      <c r="P123" s="612"/>
      <c r="Q123" s="416"/>
      <c r="R123" s="612">
        <f>R122+S122</f>
        <v>45.214439999999996</v>
      </c>
      <c r="S123" s="612"/>
      <c r="T123" s="612">
        <f>T122+U122</f>
        <v>27.586799999999997</v>
      </c>
      <c r="U123" s="612"/>
      <c r="V123" s="416"/>
      <c r="W123" s="612">
        <f>W122+X122</f>
        <v>45.214439999999996</v>
      </c>
      <c r="X123" s="612"/>
      <c r="Y123" s="612">
        <f>Y122+Z122</f>
        <v>27.586799999999997</v>
      </c>
      <c r="Z123" s="612"/>
      <c r="AB123" s="416"/>
      <c r="AC123"/>
      <c r="AD123" s="416"/>
      <c r="AE123" s="612">
        <f>AE122+AF122</f>
        <v>43.201499999999996</v>
      </c>
      <c r="AF123" s="612"/>
      <c r="AG123" s="612">
        <f>AG122+AH122</f>
        <v>25.035</v>
      </c>
      <c r="AH123" s="612"/>
      <c r="AI123" s="416"/>
      <c r="AJ123" s="612">
        <f>AJ122+AK122</f>
        <v>51.915443999999994</v>
      </c>
      <c r="AK123" s="612"/>
      <c r="AL123" s="612">
        <f>AL122+AM122</f>
        <v>30.851879999999994</v>
      </c>
      <c r="AM123" s="612"/>
      <c r="AN123" s="416"/>
      <c r="AO123" s="612">
        <f>AO122+AP122</f>
        <v>52.890443999999995</v>
      </c>
      <c r="AP123" s="612"/>
      <c r="AQ123" s="612">
        <f>AQ122+AR122</f>
        <v>31.601879999999994</v>
      </c>
      <c r="AR123" s="612"/>
      <c r="AS123" s="416"/>
      <c r="AT123" s="612">
        <f>AT122+AU122</f>
        <v>52.890443999999995</v>
      </c>
      <c r="AU123" s="612"/>
      <c r="AV123" s="612">
        <f>AV122+AW122</f>
        <v>31.601879999999994</v>
      </c>
      <c r="AW123" s="612"/>
      <c r="AX123" s="416"/>
      <c r="AY123" s="612">
        <f>AY122+AZ122</f>
        <v>52.890443999999995</v>
      </c>
      <c r="AZ123" s="612"/>
      <c r="BA123" s="612">
        <f>BA122+BB122</f>
        <v>31.601879999999994</v>
      </c>
      <c r="BB123" s="612"/>
    </row>
    <row r="124" spans="1:54" x14ac:dyDescent="0.25">
      <c r="B124" s="416"/>
      <c r="G124" s="416"/>
      <c r="L124" s="416"/>
      <c r="Q124" s="416"/>
      <c r="V124" s="416"/>
      <c r="AB124" s="416"/>
      <c r="AC124" s="416"/>
      <c r="AD124" s="416"/>
      <c r="AE124" s="416"/>
      <c r="AF124" s="416"/>
      <c r="AG124" s="416"/>
      <c r="AH124" s="416"/>
      <c r="AI124" s="416"/>
      <c r="AJ124" s="416"/>
      <c r="AK124" s="416"/>
      <c r="AL124" s="416"/>
      <c r="AM124" s="416"/>
      <c r="AN124" s="416"/>
      <c r="AO124" s="416"/>
      <c r="AP124" s="416"/>
      <c r="AQ124" s="416"/>
      <c r="AR124" s="416"/>
      <c r="AS124" s="416"/>
      <c r="AT124" s="416"/>
      <c r="AU124" s="416"/>
      <c r="AV124" s="416"/>
      <c r="AW124" s="416"/>
    </row>
    <row r="125" spans="1:54" x14ac:dyDescent="0.25">
      <c r="B125" s="416"/>
      <c r="G125" s="416"/>
      <c r="L125" s="416"/>
      <c r="Q125" s="416"/>
      <c r="V125" s="416"/>
      <c r="AB125" s="416"/>
      <c r="AC125" s="416"/>
      <c r="AD125" s="416"/>
      <c r="AE125" s="416"/>
      <c r="AF125" s="416"/>
      <c r="AG125" s="416"/>
      <c r="AH125" s="416"/>
      <c r="AI125" s="416"/>
      <c r="AJ125" s="416"/>
      <c r="AK125" s="416"/>
      <c r="AL125" s="416"/>
      <c r="AM125" s="416"/>
      <c r="AN125" s="416"/>
      <c r="AO125" s="416"/>
      <c r="AP125" s="416"/>
      <c r="AQ125" s="416"/>
      <c r="AR125" s="416"/>
      <c r="AS125" s="416"/>
      <c r="AT125" s="416"/>
      <c r="AU125" s="416"/>
      <c r="AV125" s="416"/>
      <c r="AW125" s="416"/>
    </row>
    <row r="126" spans="1:54" x14ac:dyDescent="0.25">
      <c r="A126" s="403" t="s">
        <v>393</v>
      </c>
      <c r="B126" s="416"/>
      <c r="C126" t="s">
        <v>399</v>
      </c>
      <c r="G126" s="416"/>
      <c r="H126" t="s">
        <v>400</v>
      </c>
      <c r="L126" s="416"/>
      <c r="M126" t="s">
        <v>401</v>
      </c>
      <c r="Q126" s="416"/>
      <c r="R126" t="s">
        <v>232</v>
      </c>
      <c r="V126" s="416"/>
      <c r="W126" t="s">
        <v>402</v>
      </c>
      <c r="AB126" s="416"/>
      <c r="AC126" s="403" t="s">
        <v>393</v>
      </c>
      <c r="AD126" s="416"/>
      <c r="AE126" t="s">
        <v>399</v>
      </c>
      <c r="AF126"/>
      <c r="AG126"/>
      <c r="AH126"/>
      <c r="AI126" s="416"/>
      <c r="AJ126" t="s">
        <v>400</v>
      </c>
      <c r="AK126"/>
      <c r="AL126"/>
      <c r="AM126"/>
      <c r="AN126" s="416"/>
      <c r="AO126" t="s">
        <v>401</v>
      </c>
      <c r="AP126"/>
      <c r="AQ126"/>
      <c r="AR126"/>
      <c r="AS126" s="416"/>
      <c r="AT126" t="s">
        <v>232</v>
      </c>
      <c r="AU126"/>
      <c r="AV126"/>
      <c r="AW126"/>
      <c r="AX126" s="416"/>
      <c r="AY126" t="s">
        <v>402</v>
      </c>
    </row>
    <row r="127" spans="1:54" x14ac:dyDescent="0.25">
      <c r="A127" s="404" t="s">
        <v>416</v>
      </c>
      <c r="B127" s="416"/>
      <c r="G127" s="416"/>
      <c r="L127" s="416"/>
      <c r="Q127" s="416"/>
      <c r="V127" s="416"/>
      <c r="AB127" s="416"/>
      <c r="AC127" s="404" t="s">
        <v>441</v>
      </c>
      <c r="AD127" s="416"/>
      <c r="AE127"/>
      <c r="AF127"/>
      <c r="AG127"/>
      <c r="AH127"/>
      <c r="AI127" s="416"/>
      <c r="AJ127"/>
      <c r="AK127"/>
      <c r="AL127"/>
      <c r="AM127"/>
      <c r="AN127" s="416"/>
      <c r="AO127"/>
      <c r="AP127"/>
      <c r="AQ127"/>
      <c r="AR127"/>
      <c r="AS127" s="416"/>
      <c r="AT127"/>
      <c r="AU127"/>
      <c r="AV127"/>
      <c r="AW127"/>
      <c r="AX127" s="416"/>
    </row>
    <row r="128" spans="1:54" x14ac:dyDescent="0.25">
      <c r="A128" s="136"/>
      <c r="B128" s="416"/>
      <c r="C128" s="416" t="s">
        <v>386</v>
      </c>
      <c r="D128" s="416" t="s">
        <v>396</v>
      </c>
      <c r="E128" s="416" t="s">
        <v>288</v>
      </c>
      <c r="F128" s="411" t="s">
        <v>406</v>
      </c>
      <c r="G128" s="412"/>
      <c r="H128" s="416" t="s">
        <v>386</v>
      </c>
      <c r="I128" s="416" t="s">
        <v>396</v>
      </c>
      <c r="J128" s="416" t="s">
        <v>288</v>
      </c>
      <c r="K128" s="411" t="s">
        <v>407</v>
      </c>
      <c r="L128" s="412"/>
      <c r="M128" s="416" t="s">
        <v>386</v>
      </c>
      <c r="N128" s="416" t="s">
        <v>396</v>
      </c>
      <c r="O128" s="416" t="s">
        <v>288</v>
      </c>
      <c r="P128" s="411" t="s">
        <v>407</v>
      </c>
      <c r="Q128" s="306"/>
      <c r="R128" s="416" t="s">
        <v>386</v>
      </c>
      <c r="S128" s="416" t="s">
        <v>396</v>
      </c>
      <c r="T128" s="416" t="s">
        <v>288</v>
      </c>
      <c r="U128" s="411" t="s">
        <v>407</v>
      </c>
      <c r="V128" s="306"/>
      <c r="W128" s="416" t="s">
        <v>386</v>
      </c>
      <c r="X128" s="416" t="s">
        <v>396</v>
      </c>
      <c r="Y128" s="416" t="s">
        <v>288</v>
      </c>
      <c r="Z128" s="411" t="s">
        <v>407</v>
      </c>
      <c r="AB128" s="416"/>
      <c r="AC128" s="136"/>
      <c r="AD128" s="416"/>
      <c r="AE128" s="416" t="s">
        <v>386</v>
      </c>
      <c r="AF128" s="416" t="s">
        <v>396</v>
      </c>
      <c r="AG128" s="416" t="s">
        <v>288</v>
      </c>
      <c r="AH128" s="411" t="s">
        <v>406</v>
      </c>
      <c r="AI128" s="412"/>
      <c r="AJ128" s="416" t="s">
        <v>386</v>
      </c>
      <c r="AK128" s="416" t="s">
        <v>396</v>
      </c>
      <c r="AL128" s="416" t="s">
        <v>288</v>
      </c>
      <c r="AM128" s="411" t="s">
        <v>407</v>
      </c>
      <c r="AN128" s="412"/>
      <c r="AO128" s="416" t="s">
        <v>386</v>
      </c>
      <c r="AP128" s="416" t="s">
        <v>396</v>
      </c>
      <c r="AQ128" s="416" t="s">
        <v>288</v>
      </c>
      <c r="AR128" s="411" t="s">
        <v>407</v>
      </c>
      <c r="AS128" s="306"/>
      <c r="AT128" s="416" t="s">
        <v>386</v>
      </c>
      <c r="AU128" s="416" t="s">
        <v>396</v>
      </c>
      <c r="AV128" s="416" t="s">
        <v>288</v>
      </c>
      <c r="AW128" s="411" t="s">
        <v>407</v>
      </c>
      <c r="AX128" s="306"/>
      <c r="AY128" s="416" t="s">
        <v>386</v>
      </c>
      <c r="AZ128" s="416" t="s">
        <v>396</v>
      </c>
      <c r="BA128" s="416" t="s">
        <v>288</v>
      </c>
      <c r="BB128" s="411" t="s">
        <v>407</v>
      </c>
    </row>
    <row r="129" spans="1:54" x14ac:dyDescent="0.25">
      <c r="A129" s="136" t="s">
        <v>312</v>
      </c>
      <c r="B129" s="416">
        <v>1</v>
      </c>
      <c r="C129" s="415">
        <f>IF(B129="","",B129*'Tabella Carichi Unitari'!$G$8)</f>
        <v>5.2</v>
      </c>
      <c r="D129" s="415">
        <f>IF(B129="","",B129*'Tabella Carichi Unitari'!$H$8)</f>
        <v>3</v>
      </c>
      <c r="E129" s="415">
        <f>IF(B129="","",B129*'Tabella Carichi Unitari'!$C$8)</f>
        <v>4</v>
      </c>
      <c r="F129" s="109">
        <f>IF(B129="","",B129*'Tabella Carichi Unitari'!$K$8)</f>
        <v>0.6</v>
      </c>
      <c r="G129" s="416">
        <v>1</v>
      </c>
      <c r="H129" s="415">
        <f>IF(G129="","",G129*'Tabella Carichi Unitari'!$G$7)</f>
        <v>5.0122799999999996</v>
      </c>
      <c r="I129" s="415">
        <f>IF(G129="","",G129*'Tabella Carichi Unitari'!$H$7)</f>
        <v>4.8</v>
      </c>
      <c r="J129" s="415">
        <f>IF(G129="","",G129*'Tabella Carichi Unitari'!$C$7)</f>
        <v>3.8555999999999995</v>
      </c>
      <c r="K129" s="109">
        <f>IF(G129="","",G129*'Tabella Carichi Unitari'!$K$7)</f>
        <v>1.7999999999999998</v>
      </c>
      <c r="L129" s="416">
        <v>1</v>
      </c>
      <c r="M129" s="415">
        <f>IF(L129="","",L129*'Tabella Carichi Unitari'!$G$7)</f>
        <v>5.0122799999999996</v>
      </c>
      <c r="N129" s="415">
        <f>IF(L129="","",L129*'Tabella Carichi Unitari'!$H$7)</f>
        <v>4.8</v>
      </c>
      <c r="O129" s="415">
        <f>IF(L129="","",L129*'Tabella Carichi Unitari'!$C$7)</f>
        <v>3.8555999999999995</v>
      </c>
      <c r="P129" s="109">
        <f>IF(L129="","",L129*'Tabella Carichi Unitari'!$K$7)</f>
        <v>1.7999999999999998</v>
      </c>
      <c r="Q129" s="416">
        <v>1</v>
      </c>
      <c r="R129" s="415">
        <f>IF(Q129="","",Q129*'Tabella Carichi Unitari'!$G$7)</f>
        <v>5.0122799999999996</v>
      </c>
      <c r="S129" s="415">
        <f>IF(Q129="","",Q129*'Tabella Carichi Unitari'!$H$7)</f>
        <v>4.8</v>
      </c>
      <c r="T129" s="415">
        <f>IF(Q129="","",Q129*'Tabella Carichi Unitari'!$C$7)</f>
        <v>3.8555999999999995</v>
      </c>
      <c r="U129" s="109">
        <f>IF(Q129="","",Q129*'Tabella Carichi Unitari'!$K$7)</f>
        <v>1.7999999999999998</v>
      </c>
      <c r="V129" s="416">
        <v>1</v>
      </c>
      <c r="W129" s="415">
        <f>IF(V129="","",V129*'Tabella Carichi Unitari'!$G$7)</f>
        <v>5.0122799999999996</v>
      </c>
      <c r="X129" s="415">
        <f>IF(V129="","",V129*'Tabella Carichi Unitari'!$H$7)</f>
        <v>4.8</v>
      </c>
      <c r="Y129" s="415">
        <f>IF(V129="","",V129*'Tabella Carichi Unitari'!$C$7)</f>
        <v>3.8555999999999995</v>
      </c>
      <c r="Z129" s="109">
        <f>IF(V129="","",V129*'Tabella Carichi Unitari'!$K$7)</f>
        <v>1.7999999999999998</v>
      </c>
      <c r="AB129" s="416"/>
      <c r="AC129" s="136" t="s">
        <v>312</v>
      </c>
      <c r="AD129" s="415">
        <f>((4.8/2)+(4.8/2))*1</f>
        <v>4.8</v>
      </c>
      <c r="AE129" s="415">
        <f>IF(AD129="","",AD129*'Tabella Carichi Unitari'!$G$8)</f>
        <v>24.96</v>
      </c>
      <c r="AF129" s="415">
        <f>IF(AD129="","",AD129*'Tabella Carichi Unitari'!$H$8)</f>
        <v>14.399999999999999</v>
      </c>
      <c r="AG129" s="415">
        <f>IF(AD129="","",AD129*'Tabella Carichi Unitari'!$C$8)</f>
        <v>19.2</v>
      </c>
      <c r="AH129" s="109">
        <f>IF(AD129="","",AD129*'Tabella Carichi Unitari'!$K$8)</f>
        <v>2.88</v>
      </c>
      <c r="AI129" s="415">
        <f>AD129</f>
        <v>4.8</v>
      </c>
      <c r="AJ129" s="415">
        <f>IF(AI129="","",AI129*'Tabella Carichi Unitari'!$G$7)</f>
        <v>24.058943999999997</v>
      </c>
      <c r="AK129" s="415">
        <f>IF(AI129="","",AI129*'Tabella Carichi Unitari'!$H$7)</f>
        <v>23.04</v>
      </c>
      <c r="AL129" s="415">
        <f>IF(AI129="","",AI129*'Tabella Carichi Unitari'!$C$7)</f>
        <v>18.506879999999995</v>
      </c>
      <c r="AM129" s="109">
        <f>IF(AI129="","",AI129*'Tabella Carichi Unitari'!$K$7)</f>
        <v>8.6399999999999988</v>
      </c>
      <c r="AN129" s="415">
        <f>AD129</f>
        <v>4.8</v>
      </c>
      <c r="AO129" s="415">
        <f>IF(AN129="","",AN129*'Tabella Carichi Unitari'!$G$7)</f>
        <v>24.058943999999997</v>
      </c>
      <c r="AP129" s="415">
        <f>IF(AN129="","",AN129*'Tabella Carichi Unitari'!$H$7)</f>
        <v>23.04</v>
      </c>
      <c r="AQ129" s="415">
        <f>IF(AN129="","",AN129*'Tabella Carichi Unitari'!$C$7)</f>
        <v>18.506879999999995</v>
      </c>
      <c r="AR129" s="109">
        <f>IF(AN129="","",AN129*'Tabella Carichi Unitari'!$K$7)</f>
        <v>8.6399999999999988</v>
      </c>
      <c r="AS129" s="415">
        <f>AD129</f>
        <v>4.8</v>
      </c>
      <c r="AT129" s="415">
        <f>IF(AS129="","",AS129*'Tabella Carichi Unitari'!$G$7)</f>
        <v>24.058943999999997</v>
      </c>
      <c r="AU129" s="415">
        <f>IF(AS129="","",AS129*'Tabella Carichi Unitari'!$H$7)</f>
        <v>23.04</v>
      </c>
      <c r="AV129" s="415">
        <f>IF(AS129="","",AS129*'Tabella Carichi Unitari'!$C$7)</f>
        <v>18.506879999999995</v>
      </c>
      <c r="AW129" s="109">
        <f>IF(AS129="","",AS129*'Tabella Carichi Unitari'!$K$7)</f>
        <v>8.6399999999999988</v>
      </c>
      <c r="AX129" s="415">
        <f>AD129</f>
        <v>4.8</v>
      </c>
      <c r="AY129" s="415">
        <f>IF(AX129="","",AX129*'Tabella Carichi Unitari'!$G$7)</f>
        <v>24.058943999999997</v>
      </c>
      <c r="AZ129" s="415">
        <f>IF(AX129="","",AX129*'Tabella Carichi Unitari'!$H$7)</f>
        <v>23.04</v>
      </c>
      <c r="BA129" s="415">
        <f>IF(AX129="","",AX129*'Tabella Carichi Unitari'!$C$7)</f>
        <v>18.506879999999995</v>
      </c>
      <c r="BB129" s="109">
        <f>IF(AX129="","",AX129*'Tabella Carichi Unitari'!$K$7)</f>
        <v>8.6399999999999988</v>
      </c>
    </row>
    <row r="130" spans="1:54" x14ac:dyDescent="0.25">
      <c r="A130" s="136" t="s">
        <v>314</v>
      </c>
      <c r="B130" s="416"/>
      <c r="C130" s="415" t="str">
        <f>IF(B130="","",B130*'Tabella Carichi Unitari'!$G$11)</f>
        <v/>
      </c>
      <c r="D130" s="415" t="str">
        <f>IF(B130="","",B130*'Tabella Carichi Unitari'!$H$11)</f>
        <v/>
      </c>
      <c r="E130" s="415" t="str">
        <f>IF(B130="","",B130*'Tabella Carichi Unitari'!$C$11)</f>
        <v/>
      </c>
      <c r="F130" s="109" t="str">
        <f>IF(B130="","",B130*'Tabella Carichi Unitari'!$K$11)</f>
        <v/>
      </c>
      <c r="G130" s="416"/>
      <c r="H130" s="415" t="str">
        <f>IF(G130="","",G130*'Tabella Carichi Unitari'!$G$10)</f>
        <v/>
      </c>
      <c r="I130" s="415" t="str">
        <f>IF(G130="","",G130*'Tabella Carichi Unitari'!$H$10)</f>
        <v/>
      </c>
      <c r="J130" s="415" t="str">
        <f>IF(G130="","",G130*'Tabella Carichi Unitari'!$C$10)</f>
        <v/>
      </c>
      <c r="K130" s="109" t="str">
        <f>IF(G130="","",G130*'Tabella Carichi Unitari'!$K$10)</f>
        <v/>
      </c>
      <c r="L130" s="416"/>
      <c r="M130" s="415" t="str">
        <f>IF(L130="","",L130*'Tabella Carichi Unitari'!$G$10)</f>
        <v/>
      </c>
      <c r="N130" s="415" t="str">
        <f>IF(L130="","",L130*'Tabella Carichi Unitari'!$H$10)</f>
        <v/>
      </c>
      <c r="O130" s="415" t="str">
        <f>IF(L130="","",L130*'Tabella Carichi Unitari'!$C$10)</f>
        <v/>
      </c>
      <c r="P130" s="109" t="str">
        <f>IF(L130="","",L130*'Tabella Carichi Unitari'!$K$10)</f>
        <v/>
      </c>
      <c r="Q130" s="416"/>
      <c r="R130" s="415" t="str">
        <f>IF(Q130="","",Q130*'Tabella Carichi Unitari'!$G$10)</f>
        <v/>
      </c>
      <c r="S130" s="415" t="str">
        <f>IF(Q130="","",Q130*'Tabella Carichi Unitari'!$H$10)</f>
        <v/>
      </c>
      <c r="T130" s="415" t="str">
        <f>IF(Q130="","",Q130*'Tabella Carichi Unitari'!$C$10)</f>
        <v/>
      </c>
      <c r="U130" s="109" t="str">
        <f>IF(Q130="","",Q130*'Tabella Carichi Unitari'!$K$10)</f>
        <v/>
      </c>
      <c r="V130" s="416"/>
      <c r="W130" s="415" t="str">
        <f>IF(V130="","",V130*'Tabella Carichi Unitari'!$G$10)</f>
        <v/>
      </c>
      <c r="X130" s="415" t="str">
        <f>IF(V130="","",V130*'Tabella Carichi Unitari'!$H$10)</f>
        <v/>
      </c>
      <c r="Y130" s="415" t="str">
        <f>IF(V130="","",V130*'Tabella Carichi Unitari'!$C$10)</f>
        <v/>
      </c>
      <c r="Z130" s="109" t="str">
        <f>IF(V130="","",V130*'Tabella Carichi Unitari'!$K$10)</f>
        <v/>
      </c>
      <c r="AB130" s="416"/>
      <c r="AC130" s="136" t="s">
        <v>314</v>
      </c>
      <c r="AD130" s="416"/>
      <c r="AE130" s="415" t="str">
        <f>IF(AD130="","",AD130*'Tabella Carichi Unitari'!$G$11)</f>
        <v/>
      </c>
      <c r="AF130" s="415" t="str">
        <f>IF(AD130="","",AD130*'Tabella Carichi Unitari'!$H$11)</f>
        <v/>
      </c>
      <c r="AG130" s="415" t="str">
        <f>IF(AD130="","",AD130*'Tabella Carichi Unitari'!$C$11)</f>
        <v/>
      </c>
      <c r="AH130" s="109" t="str">
        <f>IF(AD130="","",AD130*'Tabella Carichi Unitari'!$K$11)</f>
        <v/>
      </c>
      <c r="AI130" s="416"/>
      <c r="AJ130" s="415" t="str">
        <f>IF(AI130="","",AI130*'Tabella Carichi Unitari'!$G$10)</f>
        <v/>
      </c>
      <c r="AK130" s="415" t="str">
        <f>IF(AI130="","",AI130*'Tabella Carichi Unitari'!$H$10)</f>
        <v/>
      </c>
      <c r="AL130" s="415" t="str">
        <f>IF(AI130="","",AI130*'Tabella Carichi Unitari'!$C$10)</f>
        <v/>
      </c>
      <c r="AM130" s="109" t="str">
        <f>IF(AI130="","",AI130*'Tabella Carichi Unitari'!$K$10)</f>
        <v/>
      </c>
      <c r="AN130" s="416"/>
      <c r="AO130" s="415" t="str">
        <f>IF(AN130="","",AN130*'Tabella Carichi Unitari'!$G$10)</f>
        <v/>
      </c>
      <c r="AP130" s="415" t="str">
        <f>IF(AN130="","",AN130*'Tabella Carichi Unitari'!$H$10)</f>
        <v/>
      </c>
      <c r="AQ130" s="415" t="str">
        <f>IF(AN130="","",AN130*'Tabella Carichi Unitari'!$C$10)</f>
        <v/>
      </c>
      <c r="AR130" s="109" t="str">
        <f>IF(AN130="","",AN130*'Tabella Carichi Unitari'!$K$10)</f>
        <v/>
      </c>
      <c r="AS130" s="416"/>
      <c r="AT130" s="415" t="str">
        <f>IF(AS130="","",AS130*'Tabella Carichi Unitari'!$G$10)</f>
        <v/>
      </c>
      <c r="AU130" s="415" t="str">
        <f>IF(AS130="","",AS130*'Tabella Carichi Unitari'!$H$10)</f>
        <v/>
      </c>
      <c r="AV130" s="415" t="str">
        <f>IF(AS130="","",AS130*'Tabella Carichi Unitari'!$C$10)</f>
        <v/>
      </c>
      <c r="AW130" s="109" t="str">
        <f>IF(AS130="","",AS130*'Tabella Carichi Unitari'!$K$10)</f>
        <v/>
      </c>
      <c r="AX130" s="416"/>
      <c r="AY130" s="415" t="str">
        <f>IF(AX130="","",AX130*'Tabella Carichi Unitari'!$G$10)</f>
        <v/>
      </c>
      <c r="AZ130" s="415" t="str">
        <f>IF(AX130="","",AX130*'Tabella Carichi Unitari'!$H$10)</f>
        <v/>
      </c>
      <c r="BA130" s="415" t="str">
        <f>IF(AX130="","",AX130*'Tabella Carichi Unitari'!$C$10)</f>
        <v/>
      </c>
      <c r="BB130" s="109" t="str">
        <f>IF(AX130="","",AX130*'Tabella Carichi Unitari'!$K$10)</f>
        <v/>
      </c>
    </row>
    <row r="131" spans="1:54" x14ac:dyDescent="0.25">
      <c r="A131" s="136" t="s">
        <v>315</v>
      </c>
      <c r="B131" s="416"/>
      <c r="C131" s="415" t="str">
        <f>IF(B131="","",B131*'Tabella Carichi Unitari'!$G$12)</f>
        <v/>
      </c>
      <c r="D131" s="415" t="str">
        <f>IF(B131="","",B131*'Tabella Carichi Unitari'!$H$12)</f>
        <v/>
      </c>
      <c r="E131" s="415" t="str">
        <f>IF(B131="","",B131*'Tabella Carichi Unitari'!$C$12)</f>
        <v/>
      </c>
      <c r="F131" s="109" t="str">
        <f>IF(B131="","",B131*'Tabella Carichi Unitari'!$K$12)</f>
        <v/>
      </c>
      <c r="G131" s="416"/>
      <c r="H131" s="415" t="str">
        <f>IF(G131="","",G131*'Tabella Carichi Unitari'!$G$12)</f>
        <v/>
      </c>
      <c r="I131" s="415" t="str">
        <f>IF(G131="","",G131*'Tabella Carichi Unitari'!$H$12)</f>
        <v/>
      </c>
      <c r="J131" s="415" t="str">
        <f>IF(G131="","",G131*'Tabella Carichi Unitari'!$C$12)</f>
        <v/>
      </c>
      <c r="K131" s="109" t="str">
        <f>IF(G131="","",G131*'Tabella Carichi Unitari'!$K$12)</f>
        <v/>
      </c>
      <c r="L131" s="416"/>
      <c r="M131" s="415" t="str">
        <f>IF(L131="","",L131*'Tabella Carichi Unitari'!$G$12)</f>
        <v/>
      </c>
      <c r="N131" s="415" t="str">
        <f>IF(L131="","",L131*'Tabella Carichi Unitari'!$H$12)</f>
        <v/>
      </c>
      <c r="O131" s="415" t="str">
        <f>IF(L131="","",L131*'Tabella Carichi Unitari'!$C$12)</f>
        <v/>
      </c>
      <c r="P131" s="109" t="str">
        <f>IF(L131="","",L131*'Tabella Carichi Unitari'!$K$12)</f>
        <v/>
      </c>
      <c r="Q131" s="416"/>
      <c r="R131" s="415" t="str">
        <f>IF(Q131="","",Q131*'Tabella Carichi Unitari'!$G$12)</f>
        <v/>
      </c>
      <c r="S131" s="415" t="str">
        <f>IF(Q131="","",Q131*'Tabella Carichi Unitari'!$H$12)</f>
        <v/>
      </c>
      <c r="T131" s="415" t="str">
        <f>IF(Q131="","",Q131*'Tabella Carichi Unitari'!$C$12)</f>
        <v/>
      </c>
      <c r="U131" s="109" t="str">
        <f>IF(Q131="","",Q131*'Tabella Carichi Unitari'!$K$12)</f>
        <v/>
      </c>
      <c r="V131" s="416"/>
      <c r="W131" s="415" t="str">
        <f>IF(V131="","",V131*'Tabella Carichi Unitari'!$G$12)</f>
        <v/>
      </c>
      <c r="X131" s="415" t="str">
        <f>IF(V131="","",V131*'Tabella Carichi Unitari'!$H$12)</f>
        <v/>
      </c>
      <c r="Y131" s="415" t="str">
        <f>IF(V131="","",V131*'Tabella Carichi Unitari'!$C$12)</f>
        <v/>
      </c>
      <c r="Z131" s="109" t="str">
        <f>IF(V131="","",V131*'Tabella Carichi Unitari'!$K$12)</f>
        <v/>
      </c>
      <c r="AB131" s="416"/>
      <c r="AC131" s="136" t="s">
        <v>315</v>
      </c>
      <c r="AD131" s="416"/>
      <c r="AE131" s="415" t="str">
        <f>IF(AD131="","",AD131*'Tabella Carichi Unitari'!$G$12)</f>
        <v/>
      </c>
      <c r="AF131" s="415" t="str">
        <f>IF(AD131="","",AD131*'Tabella Carichi Unitari'!$H$12)</f>
        <v/>
      </c>
      <c r="AG131" s="415" t="str">
        <f>IF(AD131="","",AD131*'Tabella Carichi Unitari'!$C$12)</f>
        <v/>
      </c>
      <c r="AH131" s="109" t="str">
        <f>IF(AD131="","",AD131*'Tabella Carichi Unitari'!$K$12)</f>
        <v/>
      </c>
      <c r="AI131" s="416"/>
      <c r="AJ131" s="415" t="str">
        <f>IF(AI131="","",AI131*'Tabella Carichi Unitari'!$G$12)</f>
        <v/>
      </c>
      <c r="AK131" s="415" t="str">
        <f>IF(AI131="","",AI131*'Tabella Carichi Unitari'!$H$12)</f>
        <v/>
      </c>
      <c r="AL131" s="415" t="str">
        <f>IF(AI131="","",AI131*'Tabella Carichi Unitari'!$C$12)</f>
        <v/>
      </c>
      <c r="AM131" s="109" t="str">
        <f>IF(AI131="","",AI131*'Tabella Carichi Unitari'!$K$12)</f>
        <v/>
      </c>
      <c r="AN131" s="416"/>
      <c r="AO131" s="415" t="str">
        <f>IF(AN131="","",AN131*'Tabella Carichi Unitari'!$G$12)</f>
        <v/>
      </c>
      <c r="AP131" s="415" t="str">
        <f>IF(AN131="","",AN131*'Tabella Carichi Unitari'!$H$12)</f>
        <v/>
      </c>
      <c r="AQ131" s="415" t="str">
        <f>IF(AN131="","",AN131*'Tabella Carichi Unitari'!$C$12)</f>
        <v/>
      </c>
      <c r="AR131" s="109" t="str">
        <f>IF(AN131="","",AN131*'Tabella Carichi Unitari'!$K$12)</f>
        <v/>
      </c>
      <c r="AS131" s="416"/>
      <c r="AT131" s="415" t="str">
        <f>IF(AS131="","",AS131*'Tabella Carichi Unitari'!$G$12)</f>
        <v/>
      </c>
      <c r="AU131" s="415" t="str">
        <f>IF(AS131="","",AS131*'Tabella Carichi Unitari'!$H$12)</f>
        <v/>
      </c>
      <c r="AV131" s="415" t="str">
        <f>IF(AS131="","",AS131*'Tabella Carichi Unitari'!$C$12)</f>
        <v/>
      </c>
      <c r="AW131" s="109" t="str">
        <f>IF(AS131="","",AS131*'Tabella Carichi Unitari'!$K$12)</f>
        <v/>
      </c>
      <c r="AX131" s="416"/>
      <c r="AY131" s="415" t="str">
        <f>IF(AX131="","",AX131*'Tabella Carichi Unitari'!$G$12)</f>
        <v/>
      </c>
      <c r="AZ131" s="415" t="str">
        <f>IF(AX131="","",AX131*'Tabella Carichi Unitari'!$H$12)</f>
        <v/>
      </c>
      <c r="BA131" s="415" t="str">
        <f>IF(AX131="","",AX131*'Tabella Carichi Unitari'!$C$12)</f>
        <v/>
      </c>
      <c r="BB131" s="109" t="str">
        <f>IF(AX131="","",AX131*'Tabella Carichi Unitari'!$K$12)</f>
        <v/>
      </c>
    </row>
    <row r="132" spans="1:54" x14ac:dyDescent="0.25">
      <c r="A132" s="136" t="s">
        <v>391</v>
      </c>
      <c r="B132" s="416">
        <v>1</v>
      </c>
      <c r="C132" s="415">
        <f>IF(B132="","",B132*'Tabella Carichi Unitari'!$G$15)</f>
        <v>3.8415000000000004</v>
      </c>
      <c r="D132" s="415">
        <f>IF(B132="","",B132*'Tabella Carichi Unitari'!$H$15)</f>
        <v>0</v>
      </c>
      <c r="E132" s="415">
        <f>IF(B132="","",B132*'Tabella Carichi Unitari'!$C$15)</f>
        <v>2.9550000000000001</v>
      </c>
      <c r="F132" s="109">
        <f>IF(B132="","",B132*'Tabella Carichi Unitari'!$K$15)</f>
        <v>0</v>
      </c>
      <c r="G132" s="416">
        <v>1</v>
      </c>
      <c r="H132" s="415">
        <f>IF(G132="","",G132*'Tabella Carichi Unitari'!$G$14)</f>
        <v>4.8165000000000004</v>
      </c>
      <c r="I132" s="415">
        <f>IF(G132="","",G132*'Tabella Carichi Unitari'!$H$14)</f>
        <v>0</v>
      </c>
      <c r="J132" s="415">
        <f>IF(G132="","",G132*'Tabella Carichi Unitari'!$C$14)</f>
        <v>3.7050000000000001</v>
      </c>
      <c r="K132" s="109">
        <f>IF(G132="","",G132*'Tabella Carichi Unitari'!$K$14)</f>
        <v>0</v>
      </c>
      <c r="L132" s="416">
        <v>1</v>
      </c>
      <c r="M132" s="415">
        <f>IF(L132="","",L132*'Tabella Carichi Unitari'!$G$13)</f>
        <v>5.7915000000000001</v>
      </c>
      <c r="N132" s="415">
        <f>IF(L132="","",L132*'Tabella Carichi Unitari'!$H$13)</f>
        <v>0</v>
      </c>
      <c r="O132" s="415">
        <f>IF(L132="","",L132*'Tabella Carichi Unitari'!$C$13)</f>
        <v>4.4550000000000001</v>
      </c>
      <c r="P132" s="109">
        <f>IF(L132="","",L132*'Tabella Carichi Unitari'!$K$13)</f>
        <v>0</v>
      </c>
      <c r="Q132" s="416">
        <v>1</v>
      </c>
      <c r="R132" s="415">
        <f>IF(Q132="","",Q132*'Tabella Carichi Unitari'!$G$13)</f>
        <v>5.7915000000000001</v>
      </c>
      <c r="S132" s="415">
        <f>IF(Q132="","",Q132*'Tabella Carichi Unitari'!$H$13)</f>
        <v>0</v>
      </c>
      <c r="T132" s="415">
        <f>IF(Q132="","",Q132*'Tabella Carichi Unitari'!$C$13)</f>
        <v>4.4550000000000001</v>
      </c>
      <c r="U132" s="109">
        <f>IF(Q132="","",Q132*'Tabella Carichi Unitari'!$K$13)</f>
        <v>0</v>
      </c>
      <c r="V132" s="416">
        <v>1</v>
      </c>
      <c r="W132" s="415">
        <f>IF(V132="","",V132*'Tabella Carichi Unitari'!$G$13)</f>
        <v>5.7915000000000001</v>
      </c>
      <c r="X132" s="415">
        <f>IF(V132="","",V132*'Tabella Carichi Unitari'!$H$13)</f>
        <v>0</v>
      </c>
      <c r="Y132" s="415">
        <f>IF(V132="","",V132*'Tabella Carichi Unitari'!$C$13)</f>
        <v>4.4550000000000001</v>
      </c>
      <c r="Z132" s="109">
        <f>IF(V132="","",V132*'Tabella Carichi Unitari'!$K$13)</f>
        <v>0</v>
      </c>
      <c r="AB132" s="416"/>
      <c r="AC132" s="136" t="s">
        <v>391</v>
      </c>
      <c r="AD132" s="416"/>
      <c r="AE132" s="415" t="str">
        <f>IF(AD132="","",AD132*'Tabella Carichi Unitari'!$G$15)</f>
        <v/>
      </c>
      <c r="AF132" s="415" t="str">
        <f>IF(AD132="","",AD132*'Tabella Carichi Unitari'!$H$15)</f>
        <v/>
      </c>
      <c r="AG132" s="415" t="str">
        <f>IF(AD132="","",AD132*'Tabella Carichi Unitari'!$C$15)</f>
        <v/>
      </c>
      <c r="AH132" s="109" t="str">
        <f>IF(AD132="","",AD132*'Tabella Carichi Unitari'!$K$15)</f>
        <v/>
      </c>
      <c r="AI132" s="416"/>
      <c r="AJ132" s="415" t="str">
        <f>IF(AI132="","",AI132*'Tabella Carichi Unitari'!$G$14)</f>
        <v/>
      </c>
      <c r="AK132" s="415" t="str">
        <f>IF(AI132="","",AI132*'Tabella Carichi Unitari'!$H$14)</f>
        <v/>
      </c>
      <c r="AL132" s="415" t="str">
        <f>IF(AI132="","",AI132*'Tabella Carichi Unitari'!$C$14)</f>
        <v/>
      </c>
      <c r="AM132" s="109" t="str">
        <f>IF(AI132="","",AI132*'Tabella Carichi Unitari'!$K$14)</f>
        <v/>
      </c>
      <c r="AN132" s="416"/>
      <c r="AO132" s="415" t="str">
        <f>IF(AN132="","",AN132*'Tabella Carichi Unitari'!$G$13)</f>
        <v/>
      </c>
      <c r="AP132" s="415" t="str">
        <f>IF(AN132="","",AN132*'Tabella Carichi Unitari'!$H$13)</f>
        <v/>
      </c>
      <c r="AQ132" s="415" t="str">
        <f>IF(AN132="","",AN132*'Tabella Carichi Unitari'!$C$13)</f>
        <v/>
      </c>
      <c r="AR132" s="109" t="str">
        <f>IF(AN132="","",AN132*'Tabella Carichi Unitari'!$K$13)</f>
        <v/>
      </c>
      <c r="AS132" s="416"/>
      <c r="AT132" s="415" t="str">
        <f>IF(AS132="","",AS132*'Tabella Carichi Unitari'!$G$13)</f>
        <v/>
      </c>
      <c r="AU132" s="415" t="str">
        <f>IF(AS132="","",AS132*'Tabella Carichi Unitari'!$H$13)</f>
        <v/>
      </c>
      <c r="AV132" s="415" t="str">
        <f>IF(AS132="","",AS132*'Tabella Carichi Unitari'!$C$13)</f>
        <v/>
      </c>
      <c r="AW132" s="109" t="str">
        <f>IF(AS132="","",AS132*'Tabella Carichi Unitari'!$K$13)</f>
        <v/>
      </c>
      <c r="AX132" s="416"/>
      <c r="AY132" s="415" t="str">
        <f>IF(AX132="","",AX132*'Tabella Carichi Unitari'!$G$13)</f>
        <v/>
      </c>
      <c r="AZ132" s="415" t="str">
        <f>IF(AX132="","",AX132*'Tabella Carichi Unitari'!$H$13)</f>
        <v/>
      </c>
      <c r="BA132" s="415" t="str">
        <f>IF(AX132="","",AX132*'Tabella Carichi Unitari'!$C$13)</f>
        <v/>
      </c>
      <c r="BB132" s="109" t="str">
        <f>IF(AX132="","",AX132*'Tabella Carichi Unitari'!$K$13)</f>
        <v/>
      </c>
    </row>
    <row r="133" spans="1:54" x14ac:dyDescent="0.25">
      <c r="A133" s="136" t="s">
        <v>392</v>
      </c>
      <c r="B133" s="416"/>
      <c r="C133" s="415" t="str">
        <f>IF(B133="","",B133*'Tabella Carichi Unitari'!$G$16)</f>
        <v/>
      </c>
      <c r="D133" s="415" t="str">
        <f>IF(B133="","",B133*'Tabella Carichi Unitari'!$H$16)</f>
        <v/>
      </c>
      <c r="E133" s="415" t="str">
        <f>IF(B133="","",B133*'Tabella Carichi Unitari'!$C$16)</f>
        <v/>
      </c>
      <c r="F133" s="109" t="str">
        <f>IF(B133="","",B133*'Tabella Carichi Unitari'!$K$16)</f>
        <v/>
      </c>
      <c r="G133" s="416"/>
      <c r="H133" s="415" t="str">
        <f>IF(G133="","",G133*'Tabella Carichi Unitari'!$G$16)</f>
        <v/>
      </c>
      <c r="I133" s="415" t="str">
        <f>IF(G133="","",G133*'Tabella Carichi Unitari'!$H$16)</f>
        <v/>
      </c>
      <c r="J133" s="415" t="str">
        <f>IF(G133="","",G133*'Tabella Carichi Unitari'!$C$16)</f>
        <v/>
      </c>
      <c r="K133" s="109" t="str">
        <f>IF(G133="","",G133*'Tabella Carichi Unitari'!$K$16)</f>
        <v/>
      </c>
      <c r="L133" s="416"/>
      <c r="M133" s="415" t="str">
        <f>IF(L133="","",L133*'Tabella Carichi Unitari'!$G$16)</f>
        <v/>
      </c>
      <c r="N133" s="415" t="str">
        <f>IF(L133="","",L133*'Tabella Carichi Unitari'!$H$16)</f>
        <v/>
      </c>
      <c r="O133" s="415" t="str">
        <f>IF(L133="","",L133*'Tabella Carichi Unitari'!$C$16)</f>
        <v/>
      </c>
      <c r="P133" s="109" t="str">
        <f>IF(L133="","",L133*'Tabella Carichi Unitari'!$K$16)</f>
        <v/>
      </c>
      <c r="Q133" s="416"/>
      <c r="R133" s="415" t="str">
        <f>IF(Q133="","",Q133*'Tabella Carichi Unitari'!$G$16)</f>
        <v/>
      </c>
      <c r="S133" s="415" t="str">
        <f>IF(Q133="","",Q133*'Tabella Carichi Unitari'!$H$16)</f>
        <v/>
      </c>
      <c r="T133" s="415" t="str">
        <f>IF(Q133="","",Q133*'Tabella Carichi Unitari'!$C$16)</f>
        <v/>
      </c>
      <c r="U133" s="109" t="str">
        <f>IF(Q133="","",Q133*'Tabella Carichi Unitari'!$K$16)</f>
        <v/>
      </c>
      <c r="V133" s="416"/>
      <c r="W133" s="415" t="str">
        <f>IF(V133="","",V133*'Tabella Carichi Unitari'!$G$16)</f>
        <v/>
      </c>
      <c r="X133" s="415" t="str">
        <f>IF(V133="","",V133*'Tabella Carichi Unitari'!$H$16)</f>
        <v/>
      </c>
      <c r="Y133" s="415" t="str">
        <f>IF(V133="","",V133*'Tabella Carichi Unitari'!$C$16)</f>
        <v/>
      </c>
      <c r="Z133" s="109" t="str">
        <f>IF(V133="","",V133*'Tabella Carichi Unitari'!$K$16)</f>
        <v/>
      </c>
      <c r="AB133" s="416"/>
      <c r="AC133" s="136" t="s">
        <v>392</v>
      </c>
      <c r="AD133" s="416">
        <v>1</v>
      </c>
      <c r="AE133" s="415">
        <f>IF(AD133="","",AD133*'Tabella Carichi Unitari'!$G$16)</f>
        <v>6.1932000000000009</v>
      </c>
      <c r="AF133" s="415">
        <f>IF(AD133="","",AD133*'Tabella Carichi Unitari'!$H$16)</f>
        <v>0</v>
      </c>
      <c r="AG133" s="415">
        <f>IF(AD133="","",AD133*'Tabella Carichi Unitari'!$C$16)</f>
        <v>4.7640000000000002</v>
      </c>
      <c r="AH133" s="109">
        <f>IF(AD133="","",AD133*'Tabella Carichi Unitari'!$K$16)</f>
        <v>0</v>
      </c>
      <c r="AI133" s="416">
        <v>1</v>
      </c>
      <c r="AJ133" s="415">
        <f>IF(AI133="","",AI133*'Tabella Carichi Unitari'!$G$16)</f>
        <v>6.1932000000000009</v>
      </c>
      <c r="AK133" s="415">
        <f>IF(AI133="","",AI133*'Tabella Carichi Unitari'!$H$16)</f>
        <v>0</v>
      </c>
      <c r="AL133" s="415">
        <f>IF(AI133="","",AI133*'Tabella Carichi Unitari'!$C$16)</f>
        <v>4.7640000000000002</v>
      </c>
      <c r="AM133" s="109">
        <f>IF(AI133="","",AI133*'Tabella Carichi Unitari'!$K$16)</f>
        <v>0</v>
      </c>
      <c r="AN133" s="416">
        <v>1</v>
      </c>
      <c r="AO133" s="415">
        <f>IF(AN133="","",AN133*'Tabella Carichi Unitari'!$G$16)</f>
        <v>6.1932000000000009</v>
      </c>
      <c r="AP133" s="415">
        <f>IF(AN133="","",AN133*'Tabella Carichi Unitari'!$H$16)</f>
        <v>0</v>
      </c>
      <c r="AQ133" s="415">
        <f>IF(AN133="","",AN133*'Tabella Carichi Unitari'!$C$16)</f>
        <v>4.7640000000000002</v>
      </c>
      <c r="AR133" s="109">
        <f>IF(AN133="","",AN133*'Tabella Carichi Unitari'!$K$16)</f>
        <v>0</v>
      </c>
      <c r="AS133" s="416">
        <v>1</v>
      </c>
      <c r="AT133" s="415">
        <f>IF(AS133="","",AS133*'Tabella Carichi Unitari'!$G$16)</f>
        <v>6.1932000000000009</v>
      </c>
      <c r="AU133" s="415">
        <f>IF(AS133="","",AS133*'Tabella Carichi Unitari'!$H$16)</f>
        <v>0</v>
      </c>
      <c r="AV133" s="415">
        <f>IF(AS133="","",AS133*'Tabella Carichi Unitari'!$C$16)</f>
        <v>4.7640000000000002</v>
      </c>
      <c r="AW133" s="109">
        <f>IF(AS133="","",AS133*'Tabella Carichi Unitari'!$K$16)</f>
        <v>0</v>
      </c>
      <c r="AX133" s="416">
        <v>1</v>
      </c>
      <c r="AY133" s="415">
        <f>IF(AX133="","",AX133*'Tabella Carichi Unitari'!$G$16)</f>
        <v>6.1932000000000009</v>
      </c>
      <c r="AZ133" s="415">
        <f>IF(AX133="","",AX133*'Tabella Carichi Unitari'!$H$16)</f>
        <v>0</v>
      </c>
      <c r="BA133" s="415">
        <f>IF(AX133="","",AX133*'Tabella Carichi Unitari'!$C$16)</f>
        <v>4.7640000000000002</v>
      </c>
      <c r="BB133" s="109">
        <f>IF(AX133="","",AX133*'Tabella Carichi Unitari'!$K$16)</f>
        <v>0</v>
      </c>
    </row>
    <row r="134" spans="1:54" x14ac:dyDescent="0.25">
      <c r="A134" s="136" t="s">
        <v>313</v>
      </c>
      <c r="B134" s="416"/>
      <c r="C134" s="168" t="str">
        <f>IF(B134="","",B134*'Tabella Carichi Unitari'!$G$17)</f>
        <v/>
      </c>
      <c r="D134" s="168" t="str">
        <f>IF(B134="","",B134*'Tabella Carichi Unitari'!$H$17)</f>
        <v/>
      </c>
      <c r="E134" s="168" t="str">
        <f>IF(B134="","",B134*'Tabella Carichi Unitari'!$C$17)</f>
        <v/>
      </c>
      <c r="F134" s="110" t="str">
        <f>IF(B134="","",B134*'Tabella Carichi Unitari'!$K$17)</f>
        <v/>
      </c>
      <c r="G134" s="416"/>
      <c r="H134" s="168" t="str">
        <f>IF(G134="","",G134*'Tabella Carichi Unitari'!$G$17)</f>
        <v/>
      </c>
      <c r="I134" s="168" t="str">
        <f>IF(G134="","",G134*'Tabella Carichi Unitari'!$H$17)</f>
        <v/>
      </c>
      <c r="J134" s="168" t="str">
        <f>IF(G134="","",G134*'Tabella Carichi Unitari'!$C$17)</f>
        <v/>
      </c>
      <c r="K134" s="110" t="str">
        <f>IF(G134="","",G134*'Tabella Carichi Unitari'!$K$17)</f>
        <v/>
      </c>
      <c r="L134" s="416"/>
      <c r="M134" s="168" t="str">
        <f>IF(L134="","",L134*'Tabella Carichi Unitari'!$G$17)</f>
        <v/>
      </c>
      <c r="N134" s="168" t="str">
        <f>IF(L134="","",L134*'Tabella Carichi Unitari'!$H$17)</f>
        <v/>
      </c>
      <c r="O134" s="168" t="str">
        <f>IF(L134="","",L134*'Tabella Carichi Unitari'!$C$17)</f>
        <v/>
      </c>
      <c r="P134" s="110" t="str">
        <f>IF(L134="","",L134*'Tabella Carichi Unitari'!$K$17)</f>
        <v/>
      </c>
      <c r="Q134" s="416"/>
      <c r="R134" s="168" t="str">
        <f>IF(Q134="","",Q134*'Tabella Carichi Unitari'!$G$17)</f>
        <v/>
      </c>
      <c r="S134" s="168" t="str">
        <f>IF(Q134="","",Q134*'Tabella Carichi Unitari'!$H$17)</f>
        <v/>
      </c>
      <c r="T134" s="168" t="str">
        <f>IF(Q134="","",Q134*'Tabella Carichi Unitari'!$C$17)</f>
        <v/>
      </c>
      <c r="U134" s="110" t="str">
        <f>IF(Q134="","",Q134*'Tabella Carichi Unitari'!$K$17)</f>
        <v/>
      </c>
      <c r="V134" s="416"/>
      <c r="W134" s="168" t="str">
        <f>IF(V134="","",V134*'Tabella Carichi Unitari'!$G$17)</f>
        <v/>
      </c>
      <c r="X134" s="168" t="str">
        <f>IF(V134="","",V134*'Tabella Carichi Unitari'!$H$17)</f>
        <v/>
      </c>
      <c r="Y134" s="168" t="str">
        <f>IF(V134="","",V134*'Tabella Carichi Unitari'!$C$17)</f>
        <v/>
      </c>
      <c r="Z134" s="110" t="str">
        <f>IF(V134="","",V134*'Tabella Carichi Unitari'!$K$17)</f>
        <v/>
      </c>
      <c r="AB134" s="416"/>
      <c r="AC134" s="136" t="s">
        <v>313</v>
      </c>
      <c r="AD134" s="416"/>
      <c r="AE134" s="168" t="str">
        <f>IF(AD134="","",AD134*'Tabella Carichi Unitari'!$G$17)</f>
        <v/>
      </c>
      <c r="AF134" s="168" t="str">
        <f>IF(AD134="","",AD134*'Tabella Carichi Unitari'!$H$17)</f>
        <v/>
      </c>
      <c r="AG134" s="168" t="str">
        <f>IF(AD134="","",AD134*'Tabella Carichi Unitari'!$C$17)</f>
        <v/>
      </c>
      <c r="AH134" s="110" t="str">
        <f>IF(AD134="","",AD134*'Tabella Carichi Unitari'!$K$17)</f>
        <v/>
      </c>
      <c r="AI134" s="416"/>
      <c r="AJ134" s="168" t="str">
        <f>IF(AI134="","",AI134*'Tabella Carichi Unitari'!$G$17)</f>
        <v/>
      </c>
      <c r="AK134" s="168" t="str">
        <f>IF(AI134="","",AI134*'Tabella Carichi Unitari'!$H$17)</f>
        <v/>
      </c>
      <c r="AL134" s="168" t="str">
        <f>IF(AI134="","",AI134*'Tabella Carichi Unitari'!$C$17)</f>
        <v/>
      </c>
      <c r="AM134" s="110" t="str">
        <f>IF(AI134="","",AI134*'Tabella Carichi Unitari'!$K$17)</f>
        <v/>
      </c>
      <c r="AN134" s="416"/>
      <c r="AO134" s="168" t="str">
        <f>IF(AN134="","",AN134*'Tabella Carichi Unitari'!$G$17)</f>
        <v/>
      </c>
      <c r="AP134" s="168" t="str">
        <f>IF(AN134="","",AN134*'Tabella Carichi Unitari'!$H$17)</f>
        <v/>
      </c>
      <c r="AQ134" s="168" t="str">
        <f>IF(AN134="","",AN134*'Tabella Carichi Unitari'!$C$17)</f>
        <v/>
      </c>
      <c r="AR134" s="110" t="str">
        <f>IF(AN134="","",AN134*'Tabella Carichi Unitari'!$K$17)</f>
        <v/>
      </c>
      <c r="AS134" s="416"/>
      <c r="AT134" s="168" t="str">
        <f>IF(AS134="","",AS134*'Tabella Carichi Unitari'!$G$17)</f>
        <v/>
      </c>
      <c r="AU134" s="168" t="str">
        <f>IF(AS134="","",AS134*'Tabella Carichi Unitari'!$H$17)</f>
        <v/>
      </c>
      <c r="AV134" s="168" t="str">
        <f>IF(AS134="","",AS134*'Tabella Carichi Unitari'!$C$17)</f>
        <v/>
      </c>
      <c r="AW134" s="110" t="str">
        <f>IF(AS134="","",AS134*'Tabella Carichi Unitari'!$K$17)</f>
        <v/>
      </c>
      <c r="AX134" s="416"/>
      <c r="AY134" s="168" t="str">
        <f>IF(AX134="","",AX134*'Tabella Carichi Unitari'!$G$17)</f>
        <v/>
      </c>
      <c r="AZ134" s="168" t="str">
        <f>IF(AX134="","",AX134*'Tabella Carichi Unitari'!$H$17)</f>
        <v/>
      </c>
      <c r="BA134" s="168" t="str">
        <f>IF(AX134="","",AX134*'Tabella Carichi Unitari'!$C$17)</f>
        <v/>
      </c>
      <c r="BB134" s="110" t="str">
        <f>IF(AX134="","",AX134*'Tabella Carichi Unitari'!$K$17)</f>
        <v/>
      </c>
    </row>
    <row r="135" spans="1:54" x14ac:dyDescent="0.25">
      <c r="A135" s="413"/>
      <c r="B135" s="416"/>
      <c r="C135" s="415">
        <f>SUM(C129:C134)</f>
        <v>9.041500000000001</v>
      </c>
      <c r="D135" s="415">
        <f t="shared" ref="D135" si="70">SUM(D129:D134)</f>
        <v>3</v>
      </c>
      <c r="E135" s="415">
        <f t="shared" ref="E135" si="71">SUM(E129:E134)</f>
        <v>6.9550000000000001</v>
      </c>
      <c r="F135" s="415">
        <f t="shared" ref="F135" si="72">SUM(F129:F134)</f>
        <v>0.6</v>
      </c>
      <c r="G135" s="415"/>
      <c r="H135" s="415">
        <f t="shared" ref="H135" si="73">SUM(H129:H134)</f>
        <v>9.8287800000000001</v>
      </c>
      <c r="I135" s="415">
        <f t="shared" ref="I135" si="74">SUM(I129:I134)</f>
        <v>4.8</v>
      </c>
      <c r="J135" s="415">
        <f t="shared" ref="J135" si="75">SUM(J129:J134)</f>
        <v>7.5605999999999991</v>
      </c>
      <c r="K135" s="415">
        <f t="shared" ref="K135" si="76">SUM(K129:K134)</f>
        <v>1.7999999999999998</v>
      </c>
      <c r="L135" s="415"/>
      <c r="M135" s="415">
        <f t="shared" ref="M135" si="77">SUM(M129:M134)</f>
        <v>10.80378</v>
      </c>
      <c r="N135" s="415">
        <f t="shared" ref="N135" si="78">SUM(N129:N134)</f>
        <v>4.8</v>
      </c>
      <c r="O135" s="415">
        <f t="shared" ref="O135" si="79">SUM(O129:O134)</f>
        <v>8.3105999999999991</v>
      </c>
      <c r="P135" s="415">
        <f t="shared" ref="P135" si="80">SUM(P129:P134)</f>
        <v>1.7999999999999998</v>
      </c>
      <c r="Q135" s="415"/>
      <c r="R135" s="415">
        <f t="shared" ref="R135" si="81">SUM(R129:R134)</f>
        <v>10.80378</v>
      </c>
      <c r="S135" s="415">
        <f t="shared" ref="S135" si="82">SUM(S129:S134)</f>
        <v>4.8</v>
      </c>
      <c r="T135" s="415">
        <f t="shared" ref="T135" si="83">SUM(T129:T134)</f>
        <v>8.3105999999999991</v>
      </c>
      <c r="U135" s="415">
        <f t="shared" ref="U135" si="84">SUM(U129:U134)</f>
        <v>1.7999999999999998</v>
      </c>
      <c r="V135" s="415"/>
      <c r="W135" s="415">
        <f t="shared" ref="W135" si="85">SUM(W129:W134)</f>
        <v>10.80378</v>
      </c>
      <c r="X135" s="415">
        <f t="shared" ref="X135" si="86">SUM(X129:X134)</f>
        <v>4.8</v>
      </c>
      <c r="Y135" s="415">
        <f t="shared" ref="Y135" si="87">SUM(Y129:Y134)</f>
        <v>8.3105999999999991</v>
      </c>
      <c r="Z135" s="415">
        <f t="shared" ref="Z135" si="88">SUM(Z129:Z134)</f>
        <v>1.7999999999999998</v>
      </c>
      <c r="AB135" s="416"/>
      <c r="AC135" s="136"/>
      <c r="AD135" s="416"/>
      <c r="AE135" s="415">
        <f>SUM(AE129:AE134)</f>
        <v>31.153200000000002</v>
      </c>
      <c r="AF135" s="415">
        <f t="shared" ref="AF135:AH135" si="89">SUM(AF129:AF134)</f>
        <v>14.399999999999999</v>
      </c>
      <c r="AG135" s="415">
        <f t="shared" si="89"/>
        <v>23.963999999999999</v>
      </c>
      <c r="AH135" s="415">
        <f t="shared" si="89"/>
        <v>2.88</v>
      </c>
      <c r="AI135" s="415"/>
      <c r="AJ135" s="415">
        <f t="shared" ref="AJ135:AM135" si="90">SUM(AJ129:AJ134)</f>
        <v>30.252143999999998</v>
      </c>
      <c r="AK135" s="415">
        <f t="shared" si="90"/>
        <v>23.04</v>
      </c>
      <c r="AL135" s="415">
        <f t="shared" si="90"/>
        <v>23.270879999999995</v>
      </c>
      <c r="AM135" s="415">
        <f t="shared" si="90"/>
        <v>8.6399999999999988</v>
      </c>
      <c r="AN135" s="415"/>
      <c r="AO135" s="415">
        <f t="shared" ref="AO135:AR135" si="91">SUM(AO129:AO134)</f>
        <v>30.252143999999998</v>
      </c>
      <c r="AP135" s="415">
        <f t="shared" si="91"/>
        <v>23.04</v>
      </c>
      <c r="AQ135" s="415">
        <f t="shared" si="91"/>
        <v>23.270879999999995</v>
      </c>
      <c r="AR135" s="415">
        <f t="shared" si="91"/>
        <v>8.6399999999999988</v>
      </c>
      <c r="AS135" s="415"/>
      <c r="AT135" s="415">
        <f t="shared" ref="AT135:AW135" si="92">SUM(AT129:AT134)</f>
        <v>30.252143999999998</v>
      </c>
      <c r="AU135" s="415">
        <f t="shared" si="92"/>
        <v>23.04</v>
      </c>
      <c r="AV135" s="415">
        <f t="shared" si="92"/>
        <v>23.270879999999995</v>
      </c>
      <c r="AW135" s="415">
        <f t="shared" si="92"/>
        <v>8.6399999999999988</v>
      </c>
      <c r="AX135" s="415"/>
      <c r="AY135" s="415">
        <f t="shared" ref="AY135:BB135" si="93">SUM(AY129:AY134)</f>
        <v>30.252143999999998</v>
      </c>
      <c r="AZ135" s="415">
        <f t="shared" si="93"/>
        <v>23.04</v>
      </c>
      <c r="BA135" s="415">
        <f t="shared" si="93"/>
        <v>23.270879999999995</v>
      </c>
      <c r="BB135" s="415">
        <f t="shared" si="93"/>
        <v>8.6399999999999988</v>
      </c>
    </row>
    <row r="136" spans="1:54" x14ac:dyDescent="0.25">
      <c r="B136" s="416"/>
      <c r="C136" s="612">
        <f>C135+D135</f>
        <v>12.041500000000001</v>
      </c>
      <c r="D136" s="612"/>
      <c r="E136" s="612">
        <f>E135+F135</f>
        <v>7.5549999999999997</v>
      </c>
      <c r="F136" s="612"/>
      <c r="G136" s="416"/>
      <c r="H136" s="612">
        <f>H135+I135</f>
        <v>14.628779999999999</v>
      </c>
      <c r="I136" s="612"/>
      <c r="J136" s="612">
        <f>J135+K135</f>
        <v>9.360599999999998</v>
      </c>
      <c r="K136" s="612"/>
      <c r="L136" s="416"/>
      <c r="M136" s="612">
        <f>M135+N135</f>
        <v>15.60378</v>
      </c>
      <c r="N136" s="612"/>
      <c r="O136" s="612">
        <f>O135+P135</f>
        <v>10.110599999999998</v>
      </c>
      <c r="P136" s="612"/>
      <c r="Q136" s="416"/>
      <c r="R136" s="612">
        <f>R135+S135</f>
        <v>15.60378</v>
      </c>
      <c r="S136" s="612"/>
      <c r="T136" s="612">
        <f>T135+U135</f>
        <v>10.110599999999998</v>
      </c>
      <c r="U136" s="612"/>
      <c r="V136" s="416"/>
      <c r="W136" s="612">
        <f>W135+X135</f>
        <v>15.60378</v>
      </c>
      <c r="X136" s="612"/>
      <c r="Y136" s="612">
        <f>Y135+Z135</f>
        <v>10.110599999999998</v>
      </c>
      <c r="Z136" s="612"/>
      <c r="AB136" s="416"/>
      <c r="AC136"/>
      <c r="AD136" s="416"/>
      <c r="AE136" s="612">
        <f>AE135+AF135</f>
        <v>45.553200000000004</v>
      </c>
      <c r="AF136" s="612"/>
      <c r="AG136" s="612">
        <f>AG135+AH135</f>
        <v>26.843999999999998</v>
      </c>
      <c r="AH136" s="612"/>
      <c r="AI136" s="416"/>
      <c r="AJ136" s="612">
        <f>AJ135+AK135</f>
        <v>53.292143999999993</v>
      </c>
      <c r="AK136" s="612"/>
      <c r="AL136" s="612">
        <f>AL135+AM135</f>
        <v>31.910879999999992</v>
      </c>
      <c r="AM136" s="612"/>
      <c r="AN136" s="416"/>
      <c r="AO136" s="612">
        <f>AO135+AP135</f>
        <v>53.292143999999993</v>
      </c>
      <c r="AP136" s="612"/>
      <c r="AQ136" s="612">
        <f>AQ135+AR135</f>
        <v>31.910879999999992</v>
      </c>
      <c r="AR136" s="612"/>
      <c r="AS136" s="416"/>
      <c r="AT136" s="612">
        <f>AT135+AU135</f>
        <v>53.292143999999993</v>
      </c>
      <c r="AU136" s="612"/>
      <c r="AV136" s="612">
        <f>AV135+AW135</f>
        <v>31.910879999999992</v>
      </c>
      <c r="AW136" s="612"/>
      <c r="AX136" s="416"/>
      <c r="AY136" s="612">
        <f>AY135+AZ135</f>
        <v>53.292143999999993</v>
      </c>
      <c r="AZ136" s="612"/>
      <c r="BA136" s="612">
        <f>BA135+BB135</f>
        <v>31.910879999999992</v>
      </c>
      <c r="BB136" s="612"/>
    </row>
    <row r="137" spans="1:54" x14ac:dyDescent="0.25">
      <c r="B137" s="416"/>
      <c r="G137" s="416"/>
      <c r="L137" s="416"/>
      <c r="Q137" s="416"/>
      <c r="V137" s="416"/>
      <c r="AB137" s="416"/>
      <c r="AC137" s="416"/>
      <c r="AD137" s="416"/>
      <c r="AE137" s="416"/>
      <c r="AF137" s="416"/>
      <c r="AG137" s="416"/>
      <c r="AH137" s="416"/>
      <c r="AI137" s="416"/>
      <c r="AJ137" s="416"/>
      <c r="AK137" s="416"/>
      <c r="AL137" s="416"/>
      <c r="AM137" s="416"/>
      <c r="AN137" s="416"/>
      <c r="AO137" s="416"/>
      <c r="AP137" s="416"/>
      <c r="AQ137" s="416"/>
      <c r="AR137" s="416"/>
      <c r="AS137" s="416"/>
      <c r="AT137" s="416"/>
      <c r="AU137" s="416"/>
      <c r="AV137" s="416"/>
      <c r="AW137" s="416"/>
    </row>
    <row r="138" spans="1:54" x14ac:dyDescent="0.25">
      <c r="B138" s="416"/>
      <c r="G138" s="416"/>
      <c r="L138" s="416"/>
      <c r="Q138" s="416"/>
      <c r="V138" s="416"/>
      <c r="AB138" s="416"/>
      <c r="AC138" s="402" t="s">
        <v>442</v>
      </c>
      <c r="AD138" s="416"/>
      <c r="AE138" s="416"/>
      <c r="AF138" s="416"/>
      <c r="AG138" s="416"/>
      <c r="AH138" s="416"/>
      <c r="AI138" s="416"/>
      <c r="AJ138" s="416"/>
      <c r="AK138" s="416"/>
      <c r="AL138" s="416"/>
      <c r="AM138" s="416"/>
      <c r="AN138" s="416"/>
      <c r="AO138" s="416"/>
      <c r="AP138" s="416"/>
      <c r="AQ138" s="416"/>
      <c r="AR138" s="416"/>
      <c r="AS138" s="416"/>
      <c r="AT138" s="416"/>
      <c r="AU138" s="416"/>
      <c r="AV138" s="416"/>
      <c r="AW138" s="416"/>
    </row>
    <row r="139" spans="1:54" x14ac:dyDescent="0.25">
      <c r="A139" s="403" t="s">
        <v>393</v>
      </c>
      <c r="B139" s="416"/>
      <c r="C139" t="s">
        <v>399</v>
      </c>
      <c r="G139" s="416"/>
      <c r="H139" t="s">
        <v>400</v>
      </c>
      <c r="L139" s="416"/>
      <c r="M139" t="s">
        <v>401</v>
      </c>
      <c r="Q139" s="416"/>
      <c r="R139" t="s">
        <v>232</v>
      </c>
      <c r="V139" s="416"/>
      <c r="W139" t="s">
        <v>402</v>
      </c>
      <c r="AB139" s="416"/>
      <c r="AC139" s="403" t="s">
        <v>393</v>
      </c>
      <c r="AD139" s="424"/>
      <c r="AE139" t="s">
        <v>399</v>
      </c>
      <c r="AF139"/>
      <c r="AG139"/>
      <c r="AH139"/>
      <c r="AI139" s="424"/>
      <c r="AJ139" t="s">
        <v>400</v>
      </c>
      <c r="AK139"/>
      <c r="AL139"/>
      <c r="AM139"/>
      <c r="AN139" s="424"/>
      <c r="AO139" t="s">
        <v>401</v>
      </c>
      <c r="AP139"/>
      <c r="AQ139"/>
      <c r="AR139"/>
      <c r="AS139" s="424"/>
      <c r="AT139" t="s">
        <v>232</v>
      </c>
      <c r="AU139"/>
      <c r="AV139"/>
      <c r="AW139"/>
      <c r="AX139" s="424"/>
      <c r="AY139" t="s">
        <v>402</v>
      </c>
    </row>
    <row r="140" spans="1:54" x14ac:dyDescent="0.25">
      <c r="A140" s="404" t="s">
        <v>417</v>
      </c>
      <c r="B140" s="416"/>
      <c r="G140" s="416"/>
      <c r="L140" s="416"/>
      <c r="Q140" s="416"/>
      <c r="V140" s="416"/>
      <c r="AB140" s="416"/>
      <c r="AC140" s="404" t="s">
        <v>443</v>
      </c>
      <c r="AD140" s="424"/>
      <c r="AE140"/>
      <c r="AF140"/>
      <c r="AG140"/>
      <c r="AH140"/>
      <c r="AI140" s="424"/>
      <c r="AJ140"/>
      <c r="AK140"/>
      <c r="AL140"/>
      <c r="AM140"/>
      <c r="AN140" s="424"/>
      <c r="AO140"/>
      <c r="AP140"/>
      <c r="AQ140"/>
      <c r="AR140"/>
      <c r="AS140" s="424"/>
      <c r="AT140"/>
      <c r="AU140"/>
      <c r="AV140"/>
      <c r="AW140"/>
      <c r="AX140" s="424"/>
    </row>
    <row r="141" spans="1:54" x14ac:dyDescent="0.25">
      <c r="A141" s="136"/>
      <c r="B141" s="416"/>
      <c r="C141" s="416" t="s">
        <v>386</v>
      </c>
      <c r="D141" s="416" t="s">
        <v>396</v>
      </c>
      <c r="E141" s="416" t="s">
        <v>288</v>
      </c>
      <c r="F141" s="411" t="s">
        <v>406</v>
      </c>
      <c r="G141" s="412"/>
      <c r="H141" s="416" t="s">
        <v>386</v>
      </c>
      <c r="I141" s="416" t="s">
        <v>396</v>
      </c>
      <c r="J141" s="416" t="s">
        <v>288</v>
      </c>
      <c r="K141" s="411" t="s">
        <v>407</v>
      </c>
      <c r="L141" s="412"/>
      <c r="M141" s="416" t="s">
        <v>386</v>
      </c>
      <c r="N141" s="416" t="s">
        <v>396</v>
      </c>
      <c r="O141" s="416" t="s">
        <v>288</v>
      </c>
      <c r="P141" s="411" t="s">
        <v>407</v>
      </c>
      <c r="Q141" s="306"/>
      <c r="R141" s="416" t="s">
        <v>386</v>
      </c>
      <c r="S141" s="416" t="s">
        <v>396</v>
      </c>
      <c r="T141" s="416" t="s">
        <v>288</v>
      </c>
      <c r="U141" s="411" t="s">
        <v>407</v>
      </c>
      <c r="V141" s="306"/>
      <c r="W141" s="416" t="s">
        <v>386</v>
      </c>
      <c r="X141" s="416" t="s">
        <v>396</v>
      </c>
      <c r="Y141" s="416" t="s">
        <v>288</v>
      </c>
      <c r="Z141" s="411" t="s">
        <v>407</v>
      </c>
      <c r="AB141" s="416"/>
      <c r="AC141"/>
      <c r="AD141" s="306"/>
      <c r="AE141" s="424" t="s">
        <v>386</v>
      </c>
      <c r="AF141" s="424" t="s">
        <v>396</v>
      </c>
      <c r="AG141" s="424" t="s">
        <v>288</v>
      </c>
      <c r="AH141" s="418" t="s">
        <v>406</v>
      </c>
      <c r="AI141" s="306"/>
      <c r="AJ141" s="424" t="s">
        <v>386</v>
      </c>
      <c r="AK141" s="424" t="s">
        <v>396</v>
      </c>
      <c r="AL141" s="424" t="s">
        <v>288</v>
      </c>
      <c r="AM141" s="418" t="s">
        <v>407</v>
      </c>
      <c r="AN141" s="306"/>
      <c r="AO141" s="424" t="s">
        <v>386</v>
      </c>
      <c r="AP141" s="424" t="s">
        <v>396</v>
      </c>
      <c r="AQ141" s="424" t="s">
        <v>288</v>
      </c>
      <c r="AR141" s="411" t="s">
        <v>407</v>
      </c>
      <c r="AS141" s="306"/>
      <c r="AT141" s="424" t="s">
        <v>386</v>
      </c>
      <c r="AU141" s="424" t="s">
        <v>396</v>
      </c>
      <c r="AV141" s="424" t="s">
        <v>288</v>
      </c>
      <c r="AW141" s="411" t="s">
        <v>407</v>
      </c>
      <c r="AX141" s="306"/>
      <c r="AY141" s="424" t="s">
        <v>386</v>
      </c>
      <c r="AZ141" s="424" t="s">
        <v>396</v>
      </c>
      <c r="BA141" s="424" t="s">
        <v>288</v>
      </c>
      <c r="BB141" s="411" t="s">
        <v>407</v>
      </c>
    </row>
    <row r="142" spans="1:54" x14ac:dyDescent="0.25">
      <c r="A142" s="136" t="s">
        <v>312</v>
      </c>
      <c r="B142" s="416">
        <v>1</v>
      </c>
      <c r="C142" s="415">
        <f>IF(B142="","",B142*'Tabella Carichi Unitari'!$G$8)</f>
        <v>5.2</v>
      </c>
      <c r="D142" s="415">
        <f>IF(B142="","",B142*'Tabella Carichi Unitari'!$H$8)</f>
        <v>3</v>
      </c>
      <c r="E142" s="415">
        <f>IF(B142="","",B142*'Tabella Carichi Unitari'!$C$8)</f>
        <v>4</v>
      </c>
      <c r="F142" s="109">
        <f>IF(B142="","",B142*'Tabella Carichi Unitari'!$K$8)</f>
        <v>0.6</v>
      </c>
      <c r="G142" s="416">
        <v>1</v>
      </c>
      <c r="H142" s="415">
        <f>IF(G142="","",G142*'Tabella Carichi Unitari'!$G$7)</f>
        <v>5.0122799999999996</v>
      </c>
      <c r="I142" s="415">
        <f>IF(G142="","",G142*'Tabella Carichi Unitari'!$H$7)</f>
        <v>4.8</v>
      </c>
      <c r="J142" s="415">
        <f>IF(G142="","",G142*'Tabella Carichi Unitari'!$C$7)</f>
        <v>3.8555999999999995</v>
      </c>
      <c r="K142" s="109">
        <f>IF(G142="","",G142*'Tabella Carichi Unitari'!$K$7)</f>
        <v>1.7999999999999998</v>
      </c>
      <c r="L142" s="416">
        <v>1</v>
      </c>
      <c r="M142" s="415">
        <f>IF(L142="","",L142*'Tabella Carichi Unitari'!$G$7)</f>
        <v>5.0122799999999996</v>
      </c>
      <c r="N142" s="415">
        <f>IF(L142="","",L142*'Tabella Carichi Unitari'!$H$7)</f>
        <v>4.8</v>
      </c>
      <c r="O142" s="415">
        <f>IF(L142="","",L142*'Tabella Carichi Unitari'!$C$7)</f>
        <v>3.8555999999999995</v>
      </c>
      <c r="P142" s="109">
        <f>IF(L142="","",L142*'Tabella Carichi Unitari'!$K$7)</f>
        <v>1.7999999999999998</v>
      </c>
      <c r="Q142" s="416">
        <v>1</v>
      </c>
      <c r="R142" s="415">
        <f>IF(Q142="","",Q142*'Tabella Carichi Unitari'!$G$7)</f>
        <v>5.0122799999999996</v>
      </c>
      <c r="S142" s="415">
        <f>IF(Q142="","",Q142*'Tabella Carichi Unitari'!$H$7)</f>
        <v>4.8</v>
      </c>
      <c r="T142" s="415">
        <f>IF(Q142="","",Q142*'Tabella Carichi Unitari'!$C$7)</f>
        <v>3.8555999999999995</v>
      </c>
      <c r="U142" s="109">
        <f>IF(Q142="","",Q142*'Tabella Carichi Unitari'!$K$7)</f>
        <v>1.7999999999999998</v>
      </c>
      <c r="V142" s="416">
        <v>1</v>
      </c>
      <c r="W142" s="415">
        <f>IF(V142="","",V142*'Tabella Carichi Unitari'!$G$7)</f>
        <v>5.0122799999999996</v>
      </c>
      <c r="X142" s="415">
        <f>IF(V142="","",V142*'Tabella Carichi Unitari'!$H$7)</f>
        <v>4.8</v>
      </c>
      <c r="Y142" s="415">
        <f>IF(V142="","",V142*'Tabella Carichi Unitari'!$C$7)</f>
        <v>3.8555999999999995</v>
      </c>
      <c r="Z142" s="109">
        <f>IF(V142="","",V142*'Tabella Carichi Unitari'!$K$7)</f>
        <v>1.7999999999999998</v>
      </c>
      <c r="AB142" s="416"/>
      <c r="AC142" t="s">
        <v>312</v>
      </c>
      <c r="AD142" s="106">
        <f>(5.2/2)*1</f>
        <v>2.6</v>
      </c>
      <c r="AE142" s="423">
        <f>IF(AD142="","",AD142*'Tabella Carichi Unitari'!$G$8)</f>
        <v>13.520000000000001</v>
      </c>
      <c r="AF142" s="423">
        <f>IF(AD142="","",AD142*'Tabella Carichi Unitari'!$H$8)</f>
        <v>7.8000000000000007</v>
      </c>
      <c r="AG142" s="423">
        <f>IF(AD142="","",AD142*'Tabella Carichi Unitari'!$C$8)</f>
        <v>10.4</v>
      </c>
      <c r="AH142" s="423">
        <f>IF(AD142="","",AD142*'Tabella Carichi Unitari'!$K$8)</f>
        <v>1.56</v>
      </c>
      <c r="AI142" s="106">
        <f>AD142</f>
        <v>2.6</v>
      </c>
      <c r="AJ142" s="423">
        <f>IF(AI142="","",AI142*'Tabella Carichi Unitari'!$G$5)</f>
        <v>13.031927999999999</v>
      </c>
      <c r="AK142" s="423">
        <f>IF(AI142="","",AI142*'Tabella Carichi Unitari'!$H$5)</f>
        <v>7.8000000000000007</v>
      </c>
      <c r="AL142" s="423">
        <f>IF(AI142="","",AI142*'Tabella Carichi Unitari'!$C$5)</f>
        <v>10.024559999999999</v>
      </c>
      <c r="AM142" s="423">
        <f>IF(AI142="","",AI142*'Tabella Carichi Unitari'!$K$5)</f>
        <v>1.56</v>
      </c>
      <c r="AN142" s="106">
        <f>AD142</f>
        <v>2.6</v>
      </c>
      <c r="AO142" s="423">
        <f>IF(AN142="","",AN142*'Tabella Carichi Unitari'!$G$5)</f>
        <v>13.031927999999999</v>
      </c>
      <c r="AP142" s="423">
        <f>IF(AN142="","",AN142*'Tabella Carichi Unitari'!$H$5)</f>
        <v>7.8000000000000007</v>
      </c>
      <c r="AQ142" s="423">
        <f>IF(AN142="","",AN142*'Tabella Carichi Unitari'!$C$5)</f>
        <v>10.024559999999999</v>
      </c>
      <c r="AR142" s="109">
        <f>IF(AN142="","",AN142*'Tabella Carichi Unitari'!$K$5)</f>
        <v>1.56</v>
      </c>
      <c r="AS142" s="423">
        <f>AD142</f>
        <v>2.6</v>
      </c>
      <c r="AT142" s="423">
        <f>IF(AS142="","",AS142*'Tabella Carichi Unitari'!$G$5)</f>
        <v>13.031927999999999</v>
      </c>
      <c r="AU142" s="423">
        <f>IF(AS142="","",AS142*'Tabella Carichi Unitari'!$H$5)</f>
        <v>7.8000000000000007</v>
      </c>
      <c r="AV142" s="423">
        <f>IF(AS142="","",AS142*'Tabella Carichi Unitari'!$C$5)</f>
        <v>10.024559999999999</v>
      </c>
      <c r="AW142" s="109">
        <f>IF(AS142="","",AS142*'Tabella Carichi Unitari'!$K$5)</f>
        <v>1.56</v>
      </c>
      <c r="AX142" s="423">
        <f>AD142</f>
        <v>2.6</v>
      </c>
      <c r="AY142" s="423">
        <f>IF(AX142="","",AX142*'Tabella Carichi Unitari'!$G$5)</f>
        <v>13.031927999999999</v>
      </c>
      <c r="AZ142" s="423">
        <f>IF(AX142="","",AX142*'Tabella Carichi Unitari'!$H$5)</f>
        <v>7.8000000000000007</v>
      </c>
      <c r="BA142" s="423">
        <f>IF(AX142="","",AX142*'Tabella Carichi Unitari'!$C$5)</f>
        <v>10.024559999999999</v>
      </c>
      <c r="BB142" s="109">
        <f>IF(AX142="","",AX142*'Tabella Carichi Unitari'!$K$5)</f>
        <v>1.56</v>
      </c>
    </row>
    <row r="143" spans="1:54" x14ac:dyDescent="0.25">
      <c r="A143" s="136" t="s">
        <v>314</v>
      </c>
      <c r="B143" s="416"/>
      <c r="C143" s="415" t="str">
        <f>IF(B143="","",B143*'Tabella Carichi Unitari'!$G$11)</f>
        <v/>
      </c>
      <c r="D143" s="415" t="str">
        <f>IF(B143="","",B143*'Tabella Carichi Unitari'!$H$11)</f>
        <v/>
      </c>
      <c r="E143" s="415" t="str">
        <f>IF(B143="","",B143*'Tabella Carichi Unitari'!$C$11)</f>
        <v/>
      </c>
      <c r="F143" s="109" t="str">
        <f>IF(B143="","",B143*'Tabella Carichi Unitari'!$K$11)</f>
        <v/>
      </c>
      <c r="G143" s="416"/>
      <c r="H143" s="415" t="str">
        <f>IF(G143="","",G143*'Tabella Carichi Unitari'!$G$10)</f>
        <v/>
      </c>
      <c r="I143" s="415" t="str">
        <f>IF(G143="","",G143*'Tabella Carichi Unitari'!$H$10)</f>
        <v/>
      </c>
      <c r="J143" s="415" t="str">
        <f>IF(G143="","",G143*'Tabella Carichi Unitari'!$C$10)</f>
        <v/>
      </c>
      <c r="K143" s="109" t="str">
        <f>IF(G143="","",G143*'Tabella Carichi Unitari'!$K$10)</f>
        <v/>
      </c>
      <c r="L143" s="416"/>
      <c r="M143" s="415" t="str">
        <f>IF(L143="","",L143*'Tabella Carichi Unitari'!$G$10)</f>
        <v/>
      </c>
      <c r="N143" s="415" t="str">
        <f>IF(L143="","",L143*'Tabella Carichi Unitari'!$H$10)</f>
        <v/>
      </c>
      <c r="O143" s="415" t="str">
        <f>IF(L143="","",L143*'Tabella Carichi Unitari'!$C$10)</f>
        <v/>
      </c>
      <c r="P143" s="109" t="str">
        <f>IF(L143="","",L143*'Tabella Carichi Unitari'!$K$10)</f>
        <v/>
      </c>
      <c r="Q143" s="416"/>
      <c r="R143" s="415" t="str">
        <f>IF(Q143="","",Q143*'Tabella Carichi Unitari'!$G$10)</f>
        <v/>
      </c>
      <c r="S143" s="415" t="str">
        <f>IF(Q143="","",Q143*'Tabella Carichi Unitari'!$H$10)</f>
        <v/>
      </c>
      <c r="T143" s="415" t="str">
        <f>IF(Q143="","",Q143*'Tabella Carichi Unitari'!$C$10)</f>
        <v/>
      </c>
      <c r="U143" s="109" t="str">
        <f>IF(Q143="","",Q143*'Tabella Carichi Unitari'!$K$10)</f>
        <v/>
      </c>
      <c r="V143" s="416"/>
      <c r="W143" s="415" t="str">
        <f>IF(V143="","",V143*'Tabella Carichi Unitari'!$G$10)</f>
        <v/>
      </c>
      <c r="X143" s="415" t="str">
        <f>IF(V143="","",V143*'Tabella Carichi Unitari'!$H$10)</f>
        <v/>
      </c>
      <c r="Y143" s="415" t="str">
        <f>IF(V143="","",V143*'Tabella Carichi Unitari'!$C$10)</f>
        <v/>
      </c>
      <c r="Z143" s="109" t="str">
        <f>IF(V143="","",V143*'Tabella Carichi Unitari'!$K$10)</f>
        <v/>
      </c>
      <c r="AB143" s="416"/>
      <c r="AC143" t="s">
        <v>314</v>
      </c>
      <c r="AD143" s="106">
        <f>(0.5+0.15)</f>
        <v>0.65</v>
      </c>
      <c r="AE143" s="423">
        <f>IF(AD143="","",AD143*'Tabella Carichi Unitari'!$G$11)</f>
        <v>3.2955000000000001</v>
      </c>
      <c r="AF143" s="423">
        <f>IF(AD143="","",AD143*'Tabella Carichi Unitari'!$H$11)</f>
        <v>0.48750000000000004</v>
      </c>
      <c r="AG143" s="423">
        <f>IF(AD143="","",AD143*'Tabella Carichi Unitari'!$C$11)</f>
        <v>2.5350000000000001</v>
      </c>
      <c r="AH143" s="423">
        <f>IF(AD143="","",AD143*'Tabella Carichi Unitari'!$K$11)</f>
        <v>0</v>
      </c>
      <c r="AI143" s="106">
        <f>AD143</f>
        <v>0.65</v>
      </c>
      <c r="AJ143" s="423">
        <f>IF(AI143="","",AI143*'Tabella Carichi Unitari'!$G$10)</f>
        <v>3.4729499999999995</v>
      </c>
      <c r="AK143" s="423">
        <f>IF(AI143="","",AI143*'Tabella Carichi Unitari'!$H$10)</f>
        <v>3.9000000000000004</v>
      </c>
      <c r="AL143" s="423">
        <f>IF(AI143="","",AI143*'Tabella Carichi Unitari'!$C$10)</f>
        <v>2.6714999999999995</v>
      </c>
      <c r="AM143" s="423">
        <f>IF(AI143="","",AI143*'Tabella Carichi Unitari'!$K$10)</f>
        <v>1.56</v>
      </c>
      <c r="AN143" s="106">
        <f>AD143</f>
        <v>0.65</v>
      </c>
      <c r="AO143" s="423">
        <f>IF(AN143="","",AN143*'Tabella Carichi Unitari'!$G$10)</f>
        <v>3.4729499999999995</v>
      </c>
      <c r="AP143" s="423">
        <f>IF(AN143="","",AN143*'Tabella Carichi Unitari'!$H$10)</f>
        <v>3.9000000000000004</v>
      </c>
      <c r="AQ143" s="423">
        <f>IF(AN143="","",AN143*'Tabella Carichi Unitari'!$C$10)</f>
        <v>2.6714999999999995</v>
      </c>
      <c r="AR143" s="109">
        <f>IF(AN143="","",AN143*'Tabella Carichi Unitari'!$K$10)</f>
        <v>1.56</v>
      </c>
      <c r="AS143" s="424"/>
      <c r="AT143" s="423" t="str">
        <f>IF(AS143="","",AS143*'Tabella Carichi Unitari'!$G$10)</f>
        <v/>
      </c>
      <c r="AU143" s="423" t="str">
        <f>IF(AS143="","",AS143*'Tabella Carichi Unitari'!$H$10)</f>
        <v/>
      </c>
      <c r="AV143" s="423" t="str">
        <f>IF(AS143="","",AS143*'Tabella Carichi Unitari'!$C$10)</f>
        <v/>
      </c>
      <c r="AW143" s="109" t="str">
        <f>IF(AS143="","",AS143*'Tabella Carichi Unitari'!$K$10)</f>
        <v/>
      </c>
      <c r="AX143" s="424"/>
      <c r="AY143" s="423" t="str">
        <f>IF(AX143="","",AX143*'Tabella Carichi Unitari'!$G$10)</f>
        <v/>
      </c>
      <c r="AZ143" s="423" t="str">
        <f>IF(AX143="","",AX143*'Tabella Carichi Unitari'!$H$10)</f>
        <v/>
      </c>
      <c r="BA143" s="423" t="str">
        <f>IF(AX143="","",AX143*'Tabella Carichi Unitari'!$C$10)</f>
        <v/>
      </c>
      <c r="BB143" s="109" t="str">
        <f>IF(AX143="","",AX143*'Tabella Carichi Unitari'!$K$10)</f>
        <v/>
      </c>
    </row>
    <row r="144" spans="1:54" x14ac:dyDescent="0.25">
      <c r="A144" s="136" t="s">
        <v>315</v>
      </c>
      <c r="B144" s="416"/>
      <c r="C144" s="415" t="str">
        <f>IF(B144="","",B144*'Tabella Carichi Unitari'!$G$12)</f>
        <v/>
      </c>
      <c r="D144" s="415" t="str">
        <f>IF(B144="","",B144*'Tabella Carichi Unitari'!$H$12)</f>
        <v/>
      </c>
      <c r="E144" s="415" t="str">
        <f>IF(B144="","",B144*'Tabella Carichi Unitari'!$C$12)</f>
        <v/>
      </c>
      <c r="F144" s="109" t="str">
        <f>IF(B144="","",B144*'Tabella Carichi Unitari'!$K$12)</f>
        <v/>
      </c>
      <c r="G144" s="416"/>
      <c r="H144" s="415" t="str">
        <f>IF(G144="","",G144*'Tabella Carichi Unitari'!$G$12)</f>
        <v/>
      </c>
      <c r="I144" s="415" t="str">
        <f>IF(G144="","",G144*'Tabella Carichi Unitari'!$H$12)</f>
        <v/>
      </c>
      <c r="J144" s="415" t="str">
        <f>IF(G144="","",G144*'Tabella Carichi Unitari'!$C$12)</f>
        <v/>
      </c>
      <c r="K144" s="109" t="str">
        <f>IF(G144="","",G144*'Tabella Carichi Unitari'!$K$12)</f>
        <v/>
      </c>
      <c r="L144" s="416"/>
      <c r="M144" s="415" t="str">
        <f>IF(L144="","",L144*'Tabella Carichi Unitari'!$G$12)</f>
        <v/>
      </c>
      <c r="N144" s="415" t="str">
        <f>IF(L144="","",L144*'Tabella Carichi Unitari'!$H$12)</f>
        <v/>
      </c>
      <c r="O144" s="415" t="str">
        <f>IF(L144="","",L144*'Tabella Carichi Unitari'!$C$12)</f>
        <v/>
      </c>
      <c r="P144" s="109" t="str">
        <f>IF(L144="","",L144*'Tabella Carichi Unitari'!$K$12)</f>
        <v/>
      </c>
      <c r="Q144" s="416"/>
      <c r="R144" s="415" t="str">
        <f>IF(Q144="","",Q144*'Tabella Carichi Unitari'!$G$12)</f>
        <v/>
      </c>
      <c r="S144" s="415" t="str">
        <f>IF(Q144="","",Q144*'Tabella Carichi Unitari'!$H$12)</f>
        <v/>
      </c>
      <c r="T144" s="415" t="str">
        <f>IF(Q144="","",Q144*'Tabella Carichi Unitari'!$C$12)</f>
        <v/>
      </c>
      <c r="U144" s="109" t="str">
        <f>IF(Q144="","",Q144*'Tabella Carichi Unitari'!$K$12)</f>
        <v/>
      </c>
      <c r="V144" s="416"/>
      <c r="W144" s="415" t="str">
        <f>IF(V144="","",V144*'Tabella Carichi Unitari'!$G$12)</f>
        <v/>
      </c>
      <c r="X144" s="415" t="str">
        <f>IF(V144="","",V144*'Tabella Carichi Unitari'!$H$12)</f>
        <v/>
      </c>
      <c r="Y144" s="415" t="str">
        <f>IF(V144="","",V144*'Tabella Carichi Unitari'!$C$12)</f>
        <v/>
      </c>
      <c r="Z144" s="109" t="str">
        <f>IF(V144="","",V144*'Tabella Carichi Unitari'!$K$12)</f>
        <v/>
      </c>
      <c r="AB144" s="416"/>
      <c r="AC144" t="s">
        <v>315</v>
      </c>
      <c r="AD144" s="106"/>
      <c r="AE144" s="423" t="str">
        <f>IF(AD144="","",AD144*'Tabella Carichi Unitari'!$G$12)</f>
        <v/>
      </c>
      <c r="AF144" s="423" t="str">
        <f>IF(AD144="","",AD144*'Tabella Carichi Unitari'!$H$12)</f>
        <v/>
      </c>
      <c r="AG144" s="423" t="str">
        <f>IF(AD144="","",AD144*'Tabella Carichi Unitari'!$C$12)</f>
        <v/>
      </c>
      <c r="AH144" s="423" t="str">
        <f>IF(AD144="","",AD144*'Tabella Carichi Unitari'!$K$12)</f>
        <v/>
      </c>
      <c r="AI144" s="106"/>
      <c r="AJ144" s="423" t="str">
        <f>IF(AI144="","",AI144*'Tabella Carichi Unitari'!$G$12)</f>
        <v/>
      </c>
      <c r="AK144" s="423" t="str">
        <f>IF(AI144="","",AI144*'Tabella Carichi Unitari'!$H$12)</f>
        <v/>
      </c>
      <c r="AL144" s="423" t="str">
        <f>IF(AI144="","",AI144*'Tabella Carichi Unitari'!$C$12)</f>
        <v/>
      </c>
      <c r="AM144" s="423" t="str">
        <f>IF(AI144="","",AI144*'Tabella Carichi Unitari'!$K$12)</f>
        <v/>
      </c>
      <c r="AN144" s="106"/>
      <c r="AO144" s="423" t="str">
        <f>IF(AN144="","",AN144*'Tabella Carichi Unitari'!$G$12)</f>
        <v/>
      </c>
      <c r="AP144" s="423" t="str">
        <f>IF(AN144="","",AN144*'Tabella Carichi Unitari'!$H$12)</f>
        <v/>
      </c>
      <c r="AQ144" s="423" t="str">
        <f>IF(AN144="","",AN144*'Tabella Carichi Unitari'!$C$12)</f>
        <v/>
      </c>
      <c r="AR144" s="109" t="str">
        <f>IF(AN144="","",AN144*'Tabella Carichi Unitari'!$K$12)</f>
        <v/>
      </c>
      <c r="AS144" s="424"/>
      <c r="AT144" s="423" t="str">
        <f>IF(AS144="","",AS144*'Tabella Carichi Unitari'!$G$12)</f>
        <v/>
      </c>
      <c r="AU144" s="423" t="str">
        <f>IF(AS144="","",AS144*'Tabella Carichi Unitari'!$H$12)</f>
        <v/>
      </c>
      <c r="AV144" s="423" t="str">
        <f>IF(AS144="","",AS144*'Tabella Carichi Unitari'!$C$12)</f>
        <v/>
      </c>
      <c r="AW144" s="109" t="str">
        <f>IF(AS144="","",AS144*'Tabella Carichi Unitari'!$K$12)</f>
        <v/>
      </c>
      <c r="AX144" s="424"/>
      <c r="AY144" s="423" t="str">
        <f>IF(AX144="","",AX144*'Tabella Carichi Unitari'!$G$12)</f>
        <v/>
      </c>
      <c r="AZ144" s="423" t="str">
        <f>IF(AX144="","",AX144*'Tabella Carichi Unitari'!$H$12)</f>
        <v/>
      </c>
      <c r="BA144" s="423" t="str">
        <f>IF(AX144="","",AX144*'Tabella Carichi Unitari'!$C$12)</f>
        <v/>
      </c>
      <c r="BB144" s="109" t="str">
        <f>IF(AX144="","",AX144*'Tabella Carichi Unitari'!$K$12)</f>
        <v/>
      </c>
    </row>
    <row r="145" spans="1:54" x14ac:dyDescent="0.25">
      <c r="A145" s="136" t="s">
        <v>391</v>
      </c>
      <c r="B145" s="416">
        <v>1</v>
      </c>
      <c r="C145" s="415">
        <f>IF(B145="","",B145*'Tabella Carichi Unitari'!$G$15)</f>
        <v>3.8415000000000004</v>
      </c>
      <c r="D145" s="415">
        <f>IF(B145="","",B145*'Tabella Carichi Unitari'!$H$15)</f>
        <v>0</v>
      </c>
      <c r="E145" s="415">
        <f>IF(B145="","",B145*'Tabella Carichi Unitari'!$C$15)</f>
        <v>2.9550000000000001</v>
      </c>
      <c r="F145" s="109">
        <f>IF(B145="","",B145*'Tabella Carichi Unitari'!$K$15)</f>
        <v>0</v>
      </c>
      <c r="G145" s="416">
        <v>1</v>
      </c>
      <c r="H145" s="415">
        <f>IF(G145="","",G145*'Tabella Carichi Unitari'!$G$14)</f>
        <v>4.8165000000000004</v>
      </c>
      <c r="I145" s="415">
        <f>IF(G145="","",G145*'Tabella Carichi Unitari'!$H$14)</f>
        <v>0</v>
      </c>
      <c r="J145" s="415">
        <f>IF(G145="","",G145*'Tabella Carichi Unitari'!$C$14)</f>
        <v>3.7050000000000001</v>
      </c>
      <c r="K145" s="109">
        <f>IF(G145="","",G145*'Tabella Carichi Unitari'!$K$14)</f>
        <v>0</v>
      </c>
      <c r="L145" s="416">
        <v>1</v>
      </c>
      <c r="M145" s="415">
        <f>IF(L145="","",L145*'Tabella Carichi Unitari'!$G$13)</f>
        <v>5.7915000000000001</v>
      </c>
      <c r="N145" s="415">
        <f>IF(L145="","",L145*'Tabella Carichi Unitari'!$H$13)</f>
        <v>0</v>
      </c>
      <c r="O145" s="415">
        <f>IF(L145="","",L145*'Tabella Carichi Unitari'!$C$13)</f>
        <v>4.4550000000000001</v>
      </c>
      <c r="P145" s="109">
        <f>IF(L145="","",L145*'Tabella Carichi Unitari'!$K$13)</f>
        <v>0</v>
      </c>
      <c r="Q145" s="416">
        <v>1</v>
      </c>
      <c r="R145" s="415">
        <f>IF(Q145="","",Q145*'Tabella Carichi Unitari'!$G$13)</f>
        <v>5.7915000000000001</v>
      </c>
      <c r="S145" s="415">
        <f>IF(Q145="","",Q145*'Tabella Carichi Unitari'!$H$13)</f>
        <v>0</v>
      </c>
      <c r="T145" s="415">
        <f>IF(Q145="","",Q145*'Tabella Carichi Unitari'!$C$13)</f>
        <v>4.4550000000000001</v>
      </c>
      <c r="U145" s="109">
        <f>IF(Q145="","",Q145*'Tabella Carichi Unitari'!$K$13)</f>
        <v>0</v>
      </c>
      <c r="V145" s="416">
        <v>1</v>
      </c>
      <c r="W145" s="415">
        <f>IF(V145="","",V145*'Tabella Carichi Unitari'!$G$13)</f>
        <v>5.7915000000000001</v>
      </c>
      <c r="X145" s="415">
        <f>IF(V145="","",V145*'Tabella Carichi Unitari'!$H$13)</f>
        <v>0</v>
      </c>
      <c r="Y145" s="415">
        <f>IF(V145="","",V145*'Tabella Carichi Unitari'!$C$13)</f>
        <v>4.4550000000000001</v>
      </c>
      <c r="Z145" s="109">
        <f>IF(V145="","",V145*'Tabella Carichi Unitari'!$K$13)</f>
        <v>0</v>
      </c>
      <c r="AB145" s="416"/>
      <c r="AC145" t="s">
        <v>391</v>
      </c>
      <c r="AD145" s="306">
        <v>1</v>
      </c>
      <c r="AE145" s="423">
        <f>IF(AD145="","",AD145*'Tabella Carichi Unitari'!$G$15)</f>
        <v>3.8415000000000004</v>
      </c>
      <c r="AF145" s="423">
        <f>IF(AD145="","",AD145*'Tabella Carichi Unitari'!$H$15)</f>
        <v>0</v>
      </c>
      <c r="AG145" s="423">
        <f>IF(AD145="","",AD145*'Tabella Carichi Unitari'!$C$15)</f>
        <v>2.9550000000000001</v>
      </c>
      <c r="AH145" s="423">
        <f>IF(AD145="","",AD145*'Tabella Carichi Unitari'!$K$15)</f>
        <v>0</v>
      </c>
      <c r="AI145" s="306">
        <v>1</v>
      </c>
      <c r="AJ145" s="423">
        <f>IF(AI145="","",AI145*'Tabella Carichi Unitari'!$G$14)</f>
        <v>4.8165000000000004</v>
      </c>
      <c r="AK145" s="423">
        <f>IF(AI145="","",AI145*'Tabella Carichi Unitari'!$H$14)</f>
        <v>0</v>
      </c>
      <c r="AL145" s="423">
        <f>IF(AI145="","",AI145*'Tabella Carichi Unitari'!$C$14)</f>
        <v>3.7050000000000001</v>
      </c>
      <c r="AM145" s="423">
        <f>IF(AI145="","",AI145*'Tabella Carichi Unitari'!$K$14)</f>
        <v>0</v>
      </c>
      <c r="AN145" s="306">
        <v>1</v>
      </c>
      <c r="AO145" s="423">
        <f>IF(AN145="","",AN145*'Tabella Carichi Unitari'!$G$13)</f>
        <v>5.7915000000000001</v>
      </c>
      <c r="AP145" s="423">
        <f>IF(AN145="","",AN145*'Tabella Carichi Unitari'!$H$13)</f>
        <v>0</v>
      </c>
      <c r="AQ145" s="423">
        <f>IF(AN145="","",AN145*'Tabella Carichi Unitari'!$C$13)</f>
        <v>4.4550000000000001</v>
      </c>
      <c r="AR145" s="109">
        <f>IF(AN145="","",AN145*'Tabella Carichi Unitari'!$K$13)</f>
        <v>0</v>
      </c>
      <c r="AS145" s="424">
        <v>1</v>
      </c>
      <c r="AT145" s="423">
        <f>IF(AS145="","",AS145*'Tabella Carichi Unitari'!$G$13)</f>
        <v>5.7915000000000001</v>
      </c>
      <c r="AU145" s="423">
        <f>IF(AS145="","",AS145*'Tabella Carichi Unitari'!$H$13)</f>
        <v>0</v>
      </c>
      <c r="AV145" s="423">
        <f>IF(AS145="","",AS145*'Tabella Carichi Unitari'!$C$13)</f>
        <v>4.4550000000000001</v>
      </c>
      <c r="AW145" s="109">
        <f>IF(AS145="","",AS145*'Tabella Carichi Unitari'!$K$13)</f>
        <v>0</v>
      </c>
      <c r="AX145" s="424">
        <v>1</v>
      </c>
      <c r="AY145" s="423">
        <f>IF(AX145="","",AX145*'Tabella Carichi Unitari'!$G$13)</f>
        <v>5.7915000000000001</v>
      </c>
      <c r="AZ145" s="423">
        <f>IF(AX145="","",AX145*'Tabella Carichi Unitari'!$H$13)</f>
        <v>0</v>
      </c>
      <c r="BA145" s="423">
        <f>IF(AX145="","",AX145*'Tabella Carichi Unitari'!$C$13)</f>
        <v>4.4550000000000001</v>
      </c>
      <c r="BB145" s="109">
        <f>IF(AX145="","",AX145*'Tabella Carichi Unitari'!$K$13)</f>
        <v>0</v>
      </c>
    </row>
    <row r="146" spans="1:54" x14ac:dyDescent="0.25">
      <c r="A146" s="136" t="s">
        <v>392</v>
      </c>
      <c r="B146" s="416"/>
      <c r="C146" s="415" t="str">
        <f>IF(B146="","",B146*'Tabella Carichi Unitari'!$G$16)</f>
        <v/>
      </c>
      <c r="D146" s="415" t="str">
        <f>IF(B146="","",B146*'Tabella Carichi Unitari'!$H$16)</f>
        <v/>
      </c>
      <c r="E146" s="415" t="str">
        <f>IF(B146="","",B146*'Tabella Carichi Unitari'!$C$16)</f>
        <v/>
      </c>
      <c r="F146" s="109" t="str">
        <f>IF(B146="","",B146*'Tabella Carichi Unitari'!$K$16)</f>
        <v/>
      </c>
      <c r="G146" s="416"/>
      <c r="H146" s="415" t="str">
        <f>IF(G146="","",G146*'Tabella Carichi Unitari'!$G$16)</f>
        <v/>
      </c>
      <c r="I146" s="415" t="str">
        <f>IF(G146="","",G146*'Tabella Carichi Unitari'!$H$16)</f>
        <v/>
      </c>
      <c r="J146" s="415" t="str">
        <f>IF(G146="","",G146*'Tabella Carichi Unitari'!$C$16)</f>
        <v/>
      </c>
      <c r="K146" s="109" t="str">
        <f>IF(G146="","",G146*'Tabella Carichi Unitari'!$K$16)</f>
        <v/>
      </c>
      <c r="L146" s="416"/>
      <c r="M146" s="415" t="str">
        <f>IF(L146="","",L146*'Tabella Carichi Unitari'!$G$16)</f>
        <v/>
      </c>
      <c r="N146" s="415" t="str">
        <f>IF(L146="","",L146*'Tabella Carichi Unitari'!$H$16)</f>
        <v/>
      </c>
      <c r="O146" s="415" t="str">
        <f>IF(L146="","",L146*'Tabella Carichi Unitari'!$C$16)</f>
        <v/>
      </c>
      <c r="P146" s="109" t="str">
        <f>IF(L146="","",L146*'Tabella Carichi Unitari'!$K$16)</f>
        <v/>
      </c>
      <c r="Q146" s="416"/>
      <c r="R146" s="415" t="str">
        <f>IF(Q146="","",Q146*'Tabella Carichi Unitari'!$G$16)</f>
        <v/>
      </c>
      <c r="S146" s="415" t="str">
        <f>IF(Q146="","",Q146*'Tabella Carichi Unitari'!$H$16)</f>
        <v/>
      </c>
      <c r="T146" s="415" t="str">
        <f>IF(Q146="","",Q146*'Tabella Carichi Unitari'!$C$16)</f>
        <v/>
      </c>
      <c r="U146" s="109" t="str">
        <f>IF(Q146="","",Q146*'Tabella Carichi Unitari'!$K$16)</f>
        <v/>
      </c>
      <c r="V146" s="416"/>
      <c r="W146" s="415" t="str">
        <f>IF(V146="","",V146*'Tabella Carichi Unitari'!$G$16)</f>
        <v/>
      </c>
      <c r="X146" s="415" t="str">
        <f>IF(V146="","",V146*'Tabella Carichi Unitari'!$H$16)</f>
        <v/>
      </c>
      <c r="Y146" s="415" t="str">
        <f>IF(V146="","",V146*'Tabella Carichi Unitari'!$C$16)</f>
        <v/>
      </c>
      <c r="Z146" s="109" t="str">
        <f>IF(V146="","",V146*'Tabella Carichi Unitari'!$K$16)</f>
        <v/>
      </c>
      <c r="AB146" s="416"/>
      <c r="AC146" t="s">
        <v>392</v>
      </c>
      <c r="AD146" s="306"/>
      <c r="AE146" s="423" t="str">
        <f>IF(AD146="","",AD146*'Tabella Carichi Unitari'!$G$16)</f>
        <v/>
      </c>
      <c r="AF146" s="423" t="str">
        <f>IF(AD146="","",AD146*'Tabella Carichi Unitari'!$H$16)</f>
        <v/>
      </c>
      <c r="AG146" s="423" t="str">
        <f>IF(AD146="","",AD146*'Tabella Carichi Unitari'!$C$16)</f>
        <v/>
      </c>
      <c r="AH146" s="423" t="str">
        <f>IF(AD146="","",AD146*'Tabella Carichi Unitari'!$K$16)</f>
        <v/>
      </c>
      <c r="AI146" s="306"/>
      <c r="AJ146" s="423" t="str">
        <f>IF(AI146="","",AI146*'Tabella Carichi Unitari'!$G$16)</f>
        <v/>
      </c>
      <c r="AK146" s="423" t="str">
        <f>IF(AI146="","",AI146*'Tabella Carichi Unitari'!$H$16)</f>
        <v/>
      </c>
      <c r="AL146" s="423" t="str">
        <f>IF(AI146="","",AI146*'Tabella Carichi Unitari'!$C$16)</f>
        <v/>
      </c>
      <c r="AM146" s="423" t="str">
        <f>IF(AI146="","",AI146*'Tabella Carichi Unitari'!$K$16)</f>
        <v/>
      </c>
      <c r="AN146" s="306"/>
      <c r="AO146" s="423" t="str">
        <f>IF(AN146="","",AN146*'Tabella Carichi Unitari'!$G$9)</f>
        <v/>
      </c>
      <c r="AP146" s="423" t="str">
        <f>IF(AN146="","",AN146*'Tabella Carichi Unitari'!$H$9)</f>
        <v/>
      </c>
      <c r="AQ146" s="423" t="str">
        <f>IF(AN146="","",AN146*'Tabella Carichi Unitari'!$C$9)</f>
        <v/>
      </c>
      <c r="AR146" s="109" t="str">
        <f>IF(AN146="","",AN146*'Tabella Carichi Unitari'!$K$9)</f>
        <v/>
      </c>
      <c r="AS146" s="424"/>
      <c r="AT146" s="423" t="str">
        <f>IF(AS146="","",AS146*'Tabella Carichi Unitari'!$G$9)</f>
        <v/>
      </c>
      <c r="AU146" s="423" t="str">
        <f>IF(AS146="","",AS146*'Tabella Carichi Unitari'!$H$9)</f>
        <v/>
      </c>
      <c r="AV146" s="423" t="str">
        <f>IF(AS146="","",AS146*'Tabella Carichi Unitari'!$C$9)</f>
        <v/>
      </c>
      <c r="AW146" s="109" t="str">
        <f>IF(AS146="","",AS146*'Tabella Carichi Unitari'!$K$9)</f>
        <v/>
      </c>
      <c r="AX146" s="424"/>
      <c r="AY146" s="423" t="str">
        <f>IF(AX146="","",AX146*'Tabella Carichi Unitari'!$G$9)</f>
        <v/>
      </c>
      <c r="AZ146" s="423" t="str">
        <f>IF(AX146="","",AX146*'Tabella Carichi Unitari'!$H$9)</f>
        <v/>
      </c>
      <c r="BA146" s="423" t="str">
        <f>IF(AX146="","",AX146*'Tabella Carichi Unitari'!$C$9)</f>
        <v/>
      </c>
      <c r="BB146" s="109" t="str">
        <f>IF(AX146="","",AX146*'Tabella Carichi Unitari'!$K$9)</f>
        <v/>
      </c>
    </row>
    <row r="147" spans="1:54" x14ac:dyDescent="0.25">
      <c r="A147" s="136" t="s">
        <v>313</v>
      </c>
      <c r="B147" s="416"/>
      <c r="C147" s="168" t="str">
        <f>IF(B147="","",B147*'Tabella Carichi Unitari'!$G$17)</f>
        <v/>
      </c>
      <c r="D147" s="168" t="str">
        <f>IF(B147="","",B147*'Tabella Carichi Unitari'!$H$17)</f>
        <v/>
      </c>
      <c r="E147" s="168" t="str">
        <f>IF(B147="","",B147*'Tabella Carichi Unitari'!$C$17)</f>
        <v/>
      </c>
      <c r="F147" s="110" t="str">
        <f>IF(B147="","",B147*'Tabella Carichi Unitari'!$K$17)</f>
        <v/>
      </c>
      <c r="G147" s="416"/>
      <c r="H147" s="168" t="str">
        <f>IF(G147="","",G147*'Tabella Carichi Unitari'!$G$17)</f>
        <v/>
      </c>
      <c r="I147" s="168" t="str">
        <f>IF(G147="","",G147*'Tabella Carichi Unitari'!$H$17)</f>
        <v/>
      </c>
      <c r="J147" s="168" t="str">
        <f>IF(G147="","",G147*'Tabella Carichi Unitari'!$C$17)</f>
        <v/>
      </c>
      <c r="K147" s="110" t="str">
        <f>IF(G147="","",G147*'Tabella Carichi Unitari'!$K$17)</f>
        <v/>
      </c>
      <c r="L147" s="416"/>
      <c r="M147" s="168" t="str">
        <f>IF(L147="","",L147*'Tabella Carichi Unitari'!$G$17)</f>
        <v/>
      </c>
      <c r="N147" s="168" t="str">
        <f>IF(L147="","",L147*'Tabella Carichi Unitari'!$H$17)</f>
        <v/>
      </c>
      <c r="O147" s="168" t="str">
        <f>IF(L147="","",L147*'Tabella Carichi Unitari'!$C$17)</f>
        <v/>
      </c>
      <c r="P147" s="110" t="str">
        <f>IF(L147="","",L147*'Tabella Carichi Unitari'!$K$17)</f>
        <v/>
      </c>
      <c r="Q147" s="416"/>
      <c r="R147" s="168" t="str">
        <f>IF(Q147="","",Q147*'Tabella Carichi Unitari'!$G$17)</f>
        <v/>
      </c>
      <c r="S147" s="168" t="str">
        <f>IF(Q147="","",Q147*'Tabella Carichi Unitari'!$H$17)</f>
        <v/>
      </c>
      <c r="T147" s="168" t="str">
        <f>IF(Q147="","",Q147*'Tabella Carichi Unitari'!$C$17)</f>
        <v/>
      </c>
      <c r="U147" s="110" t="str">
        <f>IF(Q147="","",Q147*'Tabella Carichi Unitari'!$K$17)</f>
        <v/>
      </c>
      <c r="V147" s="416"/>
      <c r="W147" s="168" t="str">
        <f>IF(V147="","",V147*'Tabella Carichi Unitari'!$G$17)</f>
        <v/>
      </c>
      <c r="X147" s="168" t="str">
        <f>IF(V147="","",V147*'Tabella Carichi Unitari'!$H$17)</f>
        <v/>
      </c>
      <c r="Y147" s="168" t="str">
        <f>IF(V147="","",V147*'Tabella Carichi Unitari'!$C$17)</f>
        <v/>
      </c>
      <c r="Z147" s="110" t="str">
        <f>IF(V147="","",V147*'Tabella Carichi Unitari'!$K$17)</f>
        <v/>
      </c>
      <c r="AB147" s="416"/>
      <c r="AC147" t="s">
        <v>313</v>
      </c>
      <c r="AD147" s="306"/>
      <c r="AE147" s="168" t="str">
        <f>IF(AD147="","",AD147*'Tabella Carichi Unitari'!$G$17)</f>
        <v/>
      </c>
      <c r="AF147" s="168" t="str">
        <f>IF(AD147="","",AD147*'Tabella Carichi Unitari'!$H$17)</f>
        <v/>
      </c>
      <c r="AG147" s="168" t="str">
        <f>IF(AD147="","",AD147*'Tabella Carichi Unitari'!$C$17)</f>
        <v/>
      </c>
      <c r="AH147" s="110" t="str">
        <f>IF(AD147="","",AD147*'Tabella Carichi Unitari'!$K$17)</f>
        <v/>
      </c>
      <c r="AI147" s="306">
        <v>0.9</v>
      </c>
      <c r="AJ147" s="168">
        <f>IF(AI147="","",AI147*'Tabella Carichi Unitari'!$G$17)</f>
        <v>6.7860000000000014</v>
      </c>
      <c r="AK147" s="168">
        <f>IF(AI147="","",AI147*'Tabella Carichi Unitari'!$H$17)</f>
        <v>0</v>
      </c>
      <c r="AL147" s="168">
        <f>IF(AI147="","",AI147*'Tabella Carichi Unitari'!$C$17)</f>
        <v>5.2200000000000006</v>
      </c>
      <c r="AM147" s="110">
        <f>IF(AI147="","",AI147*'Tabella Carichi Unitari'!$K$17)</f>
        <v>0</v>
      </c>
      <c r="AN147" s="306">
        <v>0.9</v>
      </c>
      <c r="AO147" s="168">
        <f>IF(AN147="","",AN147*'Tabella Carichi Unitari'!$G$17)</f>
        <v>6.7860000000000014</v>
      </c>
      <c r="AP147" s="168">
        <f>IF(AN147="","",AN147*'Tabella Carichi Unitari'!$H$17)</f>
        <v>0</v>
      </c>
      <c r="AQ147" s="168">
        <f>IF(AN147="","",AN147*'Tabella Carichi Unitari'!$C$17)</f>
        <v>5.2200000000000006</v>
      </c>
      <c r="AR147" s="110">
        <f>IF(AN147="","",AN147*'Tabella Carichi Unitari'!$K$17)</f>
        <v>0</v>
      </c>
      <c r="AS147" s="424">
        <v>0.9</v>
      </c>
      <c r="AT147" s="168">
        <f>IF(AS147="","",AS147*'Tabella Carichi Unitari'!$G$17)</f>
        <v>6.7860000000000014</v>
      </c>
      <c r="AU147" s="168">
        <f>IF(AS147="","",AS147*'Tabella Carichi Unitari'!$H$17)</f>
        <v>0</v>
      </c>
      <c r="AV147" s="168">
        <f>IF(AS147="","",AS147*'Tabella Carichi Unitari'!$C$17)</f>
        <v>5.2200000000000006</v>
      </c>
      <c r="AW147" s="110">
        <f>IF(AS147="","",AS147*'Tabella Carichi Unitari'!$K$17)</f>
        <v>0</v>
      </c>
      <c r="AX147" s="424">
        <v>0.9</v>
      </c>
      <c r="AY147" s="168">
        <f>IF(AX147="","",AX147*'Tabella Carichi Unitari'!$G$17)</f>
        <v>6.7860000000000014</v>
      </c>
      <c r="AZ147" s="168">
        <f>IF(AX147="","",AX147*'Tabella Carichi Unitari'!$H$17)</f>
        <v>0</v>
      </c>
      <c r="BA147" s="168">
        <f>IF(AX147="","",AX147*'Tabella Carichi Unitari'!$C$17)</f>
        <v>5.2200000000000006</v>
      </c>
      <c r="BB147" s="110">
        <f>IF(AX147="","",AX147*'Tabella Carichi Unitari'!$K$17)</f>
        <v>0</v>
      </c>
    </row>
    <row r="148" spans="1:54" x14ac:dyDescent="0.25">
      <c r="A148" s="413"/>
      <c r="B148" s="416"/>
      <c r="C148" s="415">
        <f>SUM(C142:C147)</f>
        <v>9.041500000000001</v>
      </c>
      <c r="D148" s="415">
        <f t="shared" ref="D148" si="94">SUM(D142:D147)</f>
        <v>3</v>
      </c>
      <c r="E148" s="415">
        <f t="shared" ref="E148" si="95">SUM(E142:E147)</f>
        <v>6.9550000000000001</v>
      </c>
      <c r="F148" s="415">
        <f t="shared" ref="F148" si="96">SUM(F142:F147)</f>
        <v>0.6</v>
      </c>
      <c r="G148" s="415"/>
      <c r="H148" s="415">
        <f t="shared" ref="H148" si="97">SUM(H142:H147)</f>
        <v>9.8287800000000001</v>
      </c>
      <c r="I148" s="415">
        <f t="shared" ref="I148" si="98">SUM(I142:I147)</f>
        <v>4.8</v>
      </c>
      <c r="J148" s="415">
        <f t="shared" ref="J148" si="99">SUM(J142:J147)</f>
        <v>7.5605999999999991</v>
      </c>
      <c r="K148" s="415">
        <f t="shared" ref="K148" si="100">SUM(K142:K147)</f>
        <v>1.7999999999999998</v>
      </c>
      <c r="L148" s="415"/>
      <c r="M148" s="415">
        <f t="shared" ref="M148" si="101">SUM(M142:M147)</f>
        <v>10.80378</v>
      </c>
      <c r="N148" s="415">
        <f t="shared" ref="N148" si="102">SUM(N142:N147)</f>
        <v>4.8</v>
      </c>
      <c r="O148" s="415">
        <f t="shared" ref="O148" si="103">SUM(O142:O147)</f>
        <v>8.3105999999999991</v>
      </c>
      <c r="P148" s="415">
        <f t="shared" ref="P148" si="104">SUM(P142:P147)</f>
        <v>1.7999999999999998</v>
      </c>
      <c r="Q148" s="415"/>
      <c r="R148" s="415">
        <f t="shared" ref="R148" si="105">SUM(R142:R147)</f>
        <v>10.80378</v>
      </c>
      <c r="S148" s="415">
        <f t="shared" ref="S148" si="106">SUM(S142:S147)</f>
        <v>4.8</v>
      </c>
      <c r="T148" s="415">
        <f t="shared" ref="T148" si="107">SUM(T142:T147)</f>
        <v>8.3105999999999991</v>
      </c>
      <c r="U148" s="415">
        <f t="shared" ref="U148" si="108">SUM(U142:U147)</f>
        <v>1.7999999999999998</v>
      </c>
      <c r="V148" s="415"/>
      <c r="W148" s="415">
        <f t="shared" ref="W148" si="109">SUM(W142:W147)</f>
        <v>10.80378</v>
      </c>
      <c r="X148" s="415">
        <f t="shared" ref="X148" si="110">SUM(X142:X147)</f>
        <v>4.8</v>
      </c>
      <c r="Y148" s="415">
        <f t="shared" ref="Y148" si="111">SUM(Y142:Y147)</f>
        <v>8.3105999999999991</v>
      </c>
      <c r="Z148" s="415">
        <f t="shared" ref="Z148" si="112">SUM(Z142:Z147)</f>
        <v>1.7999999999999998</v>
      </c>
      <c r="AB148" s="416"/>
      <c r="AC148"/>
      <c r="AD148" s="306"/>
      <c r="AE148" s="423">
        <f>SUM(AE142:AE147)</f>
        <v>20.657</v>
      </c>
      <c r="AF148" s="423">
        <f>SUM(AF142:AF147)</f>
        <v>8.2875000000000014</v>
      </c>
      <c r="AG148" s="423">
        <f>SUM(AG142:AG147)</f>
        <v>15.89</v>
      </c>
      <c r="AH148" s="423">
        <f>SUM(AH142:AH147)</f>
        <v>1.56</v>
      </c>
      <c r="AI148" s="306"/>
      <c r="AJ148" s="423">
        <f>SUM(AJ142:AJ147)</f>
        <v>28.107378000000001</v>
      </c>
      <c r="AK148" s="423">
        <f>SUM(AK142:AK147)</f>
        <v>11.700000000000001</v>
      </c>
      <c r="AL148" s="423">
        <f>SUM(AL142:AL147)</f>
        <v>21.62106</v>
      </c>
      <c r="AM148" s="423">
        <f>SUM(AM142:AM147)</f>
        <v>3.12</v>
      </c>
      <c r="AN148" s="306"/>
      <c r="AO148" s="423">
        <f>SUM(AO142:AO147)</f>
        <v>29.082377999999999</v>
      </c>
      <c r="AP148" s="423">
        <f>SUM(AP142:AP147)</f>
        <v>11.700000000000001</v>
      </c>
      <c r="AQ148" s="423">
        <f>SUM(AQ142:AQ147)</f>
        <v>22.37106</v>
      </c>
      <c r="AR148" s="109">
        <f>SUM(AR142:AR147)</f>
        <v>3.12</v>
      </c>
      <c r="AS148" s="424"/>
      <c r="AT148" s="423">
        <f>SUM(AT142:AT147)</f>
        <v>25.609428000000001</v>
      </c>
      <c r="AU148" s="423">
        <f t="shared" ref="AU148:AW148" si="113">SUM(AU142:AU147)</f>
        <v>7.8000000000000007</v>
      </c>
      <c r="AV148" s="423">
        <f t="shared" si="113"/>
        <v>19.699559999999998</v>
      </c>
      <c r="AW148" s="423">
        <f t="shared" si="113"/>
        <v>1.56</v>
      </c>
      <c r="AX148" s="424"/>
      <c r="AY148" s="423">
        <f>SUM(AY142:AY147)</f>
        <v>25.609428000000001</v>
      </c>
      <c r="AZ148" s="423">
        <f t="shared" ref="AZ148:BB148" si="114">SUM(AZ142:AZ147)</f>
        <v>7.8000000000000007</v>
      </c>
      <c r="BA148" s="423">
        <f t="shared" si="114"/>
        <v>19.699559999999998</v>
      </c>
      <c r="BB148" s="423">
        <f t="shared" si="114"/>
        <v>1.56</v>
      </c>
    </row>
    <row r="149" spans="1:54" x14ac:dyDescent="0.25">
      <c r="B149" s="416"/>
      <c r="C149" s="612">
        <f>C148+D148</f>
        <v>12.041500000000001</v>
      </c>
      <c r="D149" s="612"/>
      <c r="E149" s="612">
        <f>E148+F148</f>
        <v>7.5549999999999997</v>
      </c>
      <c r="F149" s="612"/>
      <c r="G149" s="416"/>
      <c r="H149" s="612">
        <f>H148+I148</f>
        <v>14.628779999999999</v>
      </c>
      <c r="I149" s="612"/>
      <c r="J149" s="612">
        <f>J148+K148</f>
        <v>9.360599999999998</v>
      </c>
      <c r="K149" s="612"/>
      <c r="L149" s="416"/>
      <c r="M149" s="612">
        <f>M148+N148</f>
        <v>15.60378</v>
      </c>
      <c r="N149" s="612"/>
      <c r="O149" s="612">
        <f>O148+P148</f>
        <v>10.110599999999998</v>
      </c>
      <c r="P149" s="612"/>
      <c r="Q149" s="416"/>
      <c r="R149" s="612">
        <f>R148+S148</f>
        <v>15.60378</v>
      </c>
      <c r="S149" s="612"/>
      <c r="T149" s="612">
        <f>T148+U148</f>
        <v>10.110599999999998</v>
      </c>
      <c r="U149" s="612"/>
      <c r="V149" s="416"/>
      <c r="W149" s="612">
        <f>W148+X148</f>
        <v>15.60378</v>
      </c>
      <c r="X149" s="612"/>
      <c r="Y149" s="612">
        <f>Y148+Z148</f>
        <v>10.110599999999998</v>
      </c>
      <c r="Z149" s="612"/>
      <c r="AB149" s="416"/>
      <c r="AC149"/>
      <c r="AD149" s="422"/>
      <c r="AE149" s="612">
        <f>AE148+AF148</f>
        <v>28.944500000000001</v>
      </c>
      <c r="AF149" s="612"/>
      <c r="AG149" s="612">
        <f>AG148+AH148</f>
        <v>17.45</v>
      </c>
      <c r="AH149" s="612"/>
      <c r="AI149" s="422"/>
      <c r="AJ149" s="612">
        <f>AJ148+AK148</f>
        <v>39.807378</v>
      </c>
      <c r="AK149" s="612"/>
      <c r="AL149" s="612">
        <f>AL148+AM148</f>
        <v>24.741060000000001</v>
      </c>
      <c r="AM149" s="612"/>
      <c r="AN149" s="422"/>
      <c r="AO149" s="612">
        <f>AO148+AP148</f>
        <v>40.782378000000001</v>
      </c>
      <c r="AP149" s="612"/>
      <c r="AQ149" s="612">
        <f>AQ148+AR148</f>
        <v>25.491060000000001</v>
      </c>
      <c r="AR149" s="612"/>
      <c r="AS149" s="424"/>
      <c r="AT149" s="612">
        <f>AT148+AU148</f>
        <v>33.409428000000005</v>
      </c>
      <c r="AU149" s="612"/>
      <c r="AV149" s="612">
        <f>AV148+AW148</f>
        <v>21.259559999999997</v>
      </c>
      <c r="AW149" s="612"/>
      <c r="AX149" s="424"/>
      <c r="AY149" s="612">
        <f>AY148+AZ148</f>
        <v>33.409428000000005</v>
      </c>
      <c r="AZ149" s="612"/>
      <c r="BA149" s="612">
        <f>BA148+BB148</f>
        <v>21.259559999999997</v>
      </c>
      <c r="BB149" s="612"/>
    </row>
    <row r="150" spans="1:54" x14ac:dyDescent="0.25">
      <c r="B150" s="416"/>
      <c r="G150" s="416"/>
      <c r="L150" s="416"/>
      <c r="Q150" s="416"/>
      <c r="V150" s="416"/>
      <c r="AB150" s="416"/>
      <c r="AC150" s="416"/>
      <c r="AD150" s="416"/>
      <c r="AE150" s="416"/>
      <c r="AF150" s="416"/>
      <c r="AG150" s="416"/>
      <c r="AH150" s="416"/>
      <c r="AI150" s="416"/>
      <c r="AJ150" s="416"/>
      <c r="AK150" s="416"/>
      <c r="AL150" s="416"/>
      <c r="AM150" s="416"/>
      <c r="AN150" s="416"/>
      <c r="AO150" s="416"/>
      <c r="AP150" s="416"/>
      <c r="AQ150" s="416"/>
      <c r="AR150" s="416"/>
      <c r="AS150" s="416"/>
      <c r="AT150" s="416"/>
      <c r="AU150" s="416"/>
      <c r="AV150" s="416"/>
      <c r="AW150" s="416"/>
    </row>
    <row r="151" spans="1:54" x14ac:dyDescent="0.25">
      <c r="A151" s="419" t="s">
        <v>418</v>
      </c>
      <c r="B151" s="416"/>
      <c r="G151" s="416"/>
      <c r="L151" s="416"/>
      <c r="Q151" s="416"/>
      <c r="V151" s="416"/>
      <c r="AB151" s="416"/>
      <c r="AC151" s="416"/>
      <c r="AD151" s="416"/>
      <c r="AE151" s="416"/>
      <c r="AF151" s="416"/>
      <c r="AG151" s="416"/>
      <c r="AH151" s="416"/>
      <c r="AI151" s="416"/>
      <c r="AJ151" s="416"/>
      <c r="AK151" s="416"/>
      <c r="AL151" s="416"/>
      <c r="AM151" s="416"/>
      <c r="AN151" s="416"/>
      <c r="AO151" s="416"/>
      <c r="AP151" s="416"/>
      <c r="AQ151" s="416"/>
      <c r="AR151" s="416"/>
      <c r="AS151" s="416"/>
      <c r="AT151" s="416"/>
      <c r="AU151" s="416"/>
      <c r="AV151" s="416"/>
      <c r="AW151" s="416"/>
    </row>
    <row r="152" spans="1:54" x14ac:dyDescent="0.25">
      <c r="A152" s="403" t="s">
        <v>393</v>
      </c>
      <c r="B152" s="416"/>
      <c r="C152" t="s">
        <v>399</v>
      </c>
      <c r="G152" s="416"/>
      <c r="H152" t="s">
        <v>400</v>
      </c>
      <c r="L152" s="416"/>
      <c r="M152" t="s">
        <v>401</v>
      </c>
      <c r="Q152" s="416"/>
      <c r="R152" t="s">
        <v>232</v>
      </c>
      <c r="V152" s="416"/>
      <c r="W152" t="s">
        <v>402</v>
      </c>
      <c r="AB152" s="416"/>
      <c r="AC152" s="403" t="s">
        <v>393</v>
      </c>
      <c r="AD152" s="424"/>
      <c r="AE152" t="s">
        <v>399</v>
      </c>
      <c r="AF152"/>
      <c r="AG152"/>
      <c r="AH152"/>
      <c r="AI152" s="424"/>
      <c r="AJ152" t="s">
        <v>400</v>
      </c>
      <c r="AK152"/>
      <c r="AL152"/>
      <c r="AM152"/>
      <c r="AN152" s="424"/>
      <c r="AO152" t="s">
        <v>401</v>
      </c>
      <c r="AP152"/>
      <c r="AQ152"/>
      <c r="AR152"/>
      <c r="AS152" s="424"/>
      <c r="AT152" t="s">
        <v>232</v>
      </c>
      <c r="AU152"/>
      <c r="AV152"/>
      <c r="AW152"/>
      <c r="AX152" s="424"/>
      <c r="AY152" t="s">
        <v>402</v>
      </c>
    </row>
    <row r="153" spans="1:54" x14ac:dyDescent="0.25">
      <c r="A153" s="404" t="s">
        <v>419</v>
      </c>
      <c r="B153" s="416"/>
      <c r="G153" s="416"/>
      <c r="L153" s="416"/>
      <c r="Q153" s="416"/>
      <c r="V153" s="416"/>
      <c r="AB153" s="416"/>
      <c r="AC153" s="404" t="s">
        <v>444</v>
      </c>
      <c r="AD153" s="424"/>
      <c r="AE153"/>
      <c r="AF153"/>
      <c r="AG153"/>
      <c r="AH153"/>
      <c r="AI153" s="424"/>
      <c r="AJ153"/>
      <c r="AK153"/>
      <c r="AL153"/>
      <c r="AM153"/>
      <c r="AN153" s="424"/>
      <c r="AO153"/>
      <c r="AP153"/>
      <c r="AQ153"/>
      <c r="AR153"/>
      <c r="AS153" s="424"/>
      <c r="AT153"/>
      <c r="AU153"/>
      <c r="AV153"/>
      <c r="AW153"/>
      <c r="AX153" s="424"/>
    </row>
    <row r="154" spans="1:54" x14ac:dyDescent="0.25">
      <c r="A154" s="136"/>
      <c r="B154" s="416"/>
      <c r="C154" s="416" t="s">
        <v>386</v>
      </c>
      <c r="D154" s="416" t="s">
        <v>396</v>
      </c>
      <c r="E154" s="416" t="s">
        <v>288</v>
      </c>
      <c r="F154" s="411" t="s">
        <v>406</v>
      </c>
      <c r="G154" s="412"/>
      <c r="H154" s="416" t="s">
        <v>386</v>
      </c>
      <c r="I154" s="416" t="s">
        <v>396</v>
      </c>
      <c r="J154" s="416" t="s">
        <v>288</v>
      </c>
      <c r="K154" s="411" t="s">
        <v>407</v>
      </c>
      <c r="L154" s="412"/>
      <c r="M154" s="416" t="s">
        <v>386</v>
      </c>
      <c r="N154" s="416" t="s">
        <v>396</v>
      </c>
      <c r="O154" s="416" t="s">
        <v>288</v>
      </c>
      <c r="P154" s="411" t="s">
        <v>407</v>
      </c>
      <c r="Q154" s="306"/>
      <c r="R154" s="416" t="s">
        <v>386</v>
      </c>
      <c r="S154" s="416" t="s">
        <v>396</v>
      </c>
      <c r="T154" s="416" t="s">
        <v>288</v>
      </c>
      <c r="U154" s="411" t="s">
        <v>407</v>
      </c>
      <c r="V154" s="306"/>
      <c r="W154" s="416" t="s">
        <v>386</v>
      </c>
      <c r="X154" s="416" t="s">
        <v>396</v>
      </c>
      <c r="Y154" s="416" t="s">
        <v>288</v>
      </c>
      <c r="Z154" s="411" t="s">
        <v>407</v>
      </c>
      <c r="AB154" s="416"/>
      <c r="AC154" s="136"/>
      <c r="AD154" s="424"/>
      <c r="AE154" s="424" t="s">
        <v>386</v>
      </c>
      <c r="AF154" s="424" t="s">
        <v>396</v>
      </c>
      <c r="AG154" s="424" t="s">
        <v>288</v>
      </c>
      <c r="AH154" s="411" t="s">
        <v>406</v>
      </c>
      <c r="AI154" s="422"/>
      <c r="AJ154" s="424" t="s">
        <v>386</v>
      </c>
      <c r="AK154" s="424" t="s">
        <v>396</v>
      </c>
      <c r="AL154" s="424" t="s">
        <v>288</v>
      </c>
      <c r="AM154" s="411" t="s">
        <v>407</v>
      </c>
      <c r="AN154" s="422"/>
      <c r="AO154" s="424" t="s">
        <v>386</v>
      </c>
      <c r="AP154" s="424" t="s">
        <v>396</v>
      </c>
      <c r="AQ154" s="424" t="s">
        <v>288</v>
      </c>
      <c r="AR154" s="411" t="s">
        <v>407</v>
      </c>
      <c r="AS154" s="306"/>
      <c r="AT154" s="424" t="s">
        <v>386</v>
      </c>
      <c r="AU154" s="424" t="s">
        <v>396</v>
      </c>
      <c r="AV154" s="424" t="s">
        <v>288</v>
      </c>
      <c r="AW154" s="411" t="s">
        <v>407</v>
      </c>
      <c r="AX154" s="306"/>
      <c r="AY154" s="424" t="s">
        <v>386</v>
      </c>
      <c r="AZ154" s="424" t="s">
        <v>396</v>
      </c>
      <c r="BA154" s="424" t="s">
        <v>288</v>
      </c>
      <c r="BB154" s="411" t="s">
        <v>407</v>
      </c>
    </row>
    <row r="155" spans="1:54" x14ac:dyDescent="0.25">
      <c r="A155" s="136" t="s">
        <v>312</v>
      </c>
      <c r="B155" s="416">
        <v>1</v>
      </c>
      <c r="C155" s="415">
        <f>IF(B155="","",B155*'Tabella Carichi Unitari'!$G$8)</f>
        <v>5.2</v>
      </c>
      <c r="D155" s="415">
        <f>IF(B155="","",B155*'Tabella Carichi Unitari'!$H$8)</f>
        <v>3</v>
      </c>
      <c r="E155" s="415">
        <f>IF(B155="","",B155*'Tabella Carichi Unitari'!$C$8)</f>
        <v>4</v>
      </c>
      <c r="F155" s="109">
        <f>IF(B155="","",B155*'Tabella Carichi Unitari'!$K$8)</f>
        <v>0.6</v>
      </c>
      <c r="G155" s="416">
        <v>1</v>
      </c>
      <c r="H155" s="415">
        <f>IF(G155="","",G155*'Tabella Carichi Unitari'!$G$7)</f>
        <v>5.0122799999999996</v>
      </c>
      <c r="I155" s="415">
        <f>IF(G155="","",G155*'Tabella Carichi Unitari'!$H$7)</f>
        <v>4.8</v>
      </c>
      <c r="J155" s="415">
        <f>IF(G155="","",G155*'Tabella Carichi Unitari'!$C$7)</f>
        <v>3.8555999999999995</v>
      </c>
      <c r="K155" s="109">
        <f>IF(G155="","",G155*'Tabella Carichi Unitari'!$K$7)</f>
        <v>1.7999999999999998</v>
      </c>
      <c r="L155" s="416">
        <v>1</v>
      </c>
      <c r="M155" s="415">
        <f>IF(L155="","",L155*'Tabella Carichi Unitari'!$G$7)</f>
        <v>5.0122799999999996</v>
      </c>
      <c r="N155" s="415">
        <f>IF(L155="","",L155*'Tabella Carichi Unitari'!$H$7)</f>
        <v>4.8</v>
      </c>
      <c r="O155" s="415">
        <f>IF(L155="","",L155*'Tabella Carichi Unitari'!$C$7)</f>
        <v>3.8555999999999995</v>
      </c>
      <c r="P155" s="109">
        <f>IF(L155="","",L155*'Tabella Carichi Unitari'!$K$7)</f>
        <v>1.7999999999999998</v>
      </c>
      <c r="Q155" s="416">
        <v>1</v>
      </c>
      <c r="R155" s="415">
        <f>IF(Q155="","",Q155*'Tabella Carichi Unitari'!$G$7)</f>
        <v>5.0122799999999996</v>
      </c>
      <c r="S155" s="415">
        <f>IF(Q155="","",Q155*'Tabella Carichi Unitari'!$H$7)</f>
        <v>4.8</v>
      </c>
      <c r="T155" s="415">
        <f>IF(Q155="","",Q155*'Tabella Carichi Unitari'!$C$7)</f>
        <v>3.8555999999999995</v>
      </c>
      <c r="U155" s="109">
        <f>IF(Q155="","",Q155*'Tabella Carichi Unitari'!$K$7)</f>
        <v>1.7999999999999998</v>
      </c>
      <c r="V155" s="416">
        <v>1</v>
      </c>
      <c r="W155" s="415">
        <f>IF(V155="","",V155*'Tabella Carichi Unitari'!$G$7)</f>
        <v>5.0122799999999996</v>
      </c>
      <c r="X155" s="415">
        <f>IF(V155="","",V155*'Tabella Carichi Unitari'!$H$7)</f>
        <v>4.8</v>
      </c>
      <c r="Y155" s="415">
        <f>IF(V155="","",V155*'Tabella Carichi Unitari'!$C$7)</f>
        <v>3.8555999999999995</v>
      </c>
      <c r="Z155" s="109">
        <f>IF(V155="","",V155*'Tabella Carichi Unitari'!$K$7)</f>
        <v>1.7999999999999998</v>
      </c>
      <c r="AB155" s="416"/>
      <c r="AC155" s="136" t="s">
        <v>312</v>
      </c>
      <c r="AD155" s="423">
        <f>((4.8/2)+(5.2/2))*1</f>
        <v>5</v>
      </c>
      <c r="AE155" s="423">
        <f>IF(AD155="","",AD155*'Tabella Carichi Unitari'!$G$8)</f>
        <v>26</v>
      </c>
      <c r="AF155" s="423">
        <f>IF(AD155="","",AD155*'Tabella Carichi Unitari'!$H$8)</f>
        <v>15</v>
      </c>
      <c r="AG155" s="423">
        <f>IF(AD155="","",AD155*'Tabella Carichi Unitari'!$C$8)</f>
        <v>20</v>
      </c>
      <c r="AH155" s="109">
        <f>IF(AD155="","",AD155*'Tabella Carichi Unitari'!$K$8)</f>
        <v>3</v>
      </c>
      <c r="AI155" s="423">
        <f>AD155</f>
        <v>5</v>
      </c>
      <c r="AJ155" s="423">
        <f>IF(AI155="","",AI155*'Tabella Carichi Unitari'!$G$7)</f>
        <v>25.061399999999999</v>
      </c>
      <c r="AK155" s="423">
        <f>IF(AI155="","",AI155*'Tabella Carichi Unitari'!$H$7)</f>
        <v>24</v>
      </c>
      <c r="AL155" s="423">
        <f>IF(AI155="","",AI155*'Tabella Carichi Unitari'!$C$7)</f>
        <v>19.277999999999999</v>
      </c>
      <c r="AM155" s="109">
        <f>IF(AI155="","",AI155*'Tabella Carichi Unitari'!$K$7)</f>
        <v>9</v>
      </c>
      <c r="AN155" s="423">
        <f>AD155</f>
        <v>5</v>
      </c>
      <c r="AO155" s="423">
        <f>IF(AN155="","",AN155*'Tabella Carichi Unitari'!$G$7)</f>
        <v>25.061399999999999</v>
      </c>
      <c r="AP155" s="423">
        <f>IF(AN155="","",AN155*'Tabella Carichi Unitari'!$H$7)</f>
        <v>24</v>
      </c>
      <c r="AQ155" s="423">
        <f>IF(AN155="","",AN155*'Tabella Carichi Unitari'!$C$7)</f>
        <v>19.277999999999999</v>
      </c>
      <c r="AR155" s="109">
        <f>IF(AN155="","",AN155*'Tabella Carichi Unitari'!$K$7)</f>
        <v>9</v>
      </c>
      <c r="AS155" s="423">
        <f>AD155</f>
        <v>5</v>
      </c>
      <c r="AT155" s="423">
        <f>IF(AS155="","",AS155*'Tabella Carichi Unitari'!$G$7)</f>
        <v>25.061399999999999</v>
      </c>
      <c r="AU155" s="423">
        <f>IF(AS155="","",AS155*'Tabella Carichi Unitari'!$H$7)</f>
        <v>24</v>
      </c>
      <c r="AV155" s="423">
        <f>IF(AS155="","",AS155*'Tabella Carichi Unitari'!$C$7)</f>
        <v>19.277999999999999</v>
      </c>
      <c r="AW155" s="109">
        <f>IF(AS155="","",AS155*'Tabella Carichi Unitari'!$K$7)</f>
        <v>9</v>
      </c>
      <c r="AX155" s="423">
        <f>AD155</f>
        <v>5</v>
      </c>
      <c r="AY155" s="423">
        <f>IF(AX155="","",AX155*'Tabella Carichi Unitari'!$G$7)</f>
        <v>25.061399999999999</v>
      </c>
      <c r="AZ155" s="423">
        <f>IF(AX155="","",AX155*'Tabella Carichi Unitari'!$H$7)</f>
        <v>24</v>
      </c>
      <c r="BA155" s="423">
        <f>IF(AX155="","",AX155*'Tabella Carichi Unitari'!$C$7)</f>
        <v>19.277999999999999</v>
      </c>
      <c r="BB155" s="109">
        <f>IF(AX155="","",AX155*'Tabella Carichi Unitari'!$K$7)</f>
        <v>9</v>
      </c>
    </row>
    <row r="156" spans="1:54" x14ac:dyDescent="0.25">
      <c r="A156" s="136" t="s">
        <v>314</v>
      </c>
      <c r="B156" s="416"/>
      <c r="C156" s="415" t="str">
        <f>IF(B156="","",B156*'Tabella Carichi Unitari'!$G$11)</f>
        <v/>
      </c>
      <c r="D156" s="415" t="str">
        <f>IF(B156="","",B156*'Tabella Carichi Unitari'!$H$11)</f>
        <v/>
      </c>
      <c r="E156" s="415" t="str">
        <f>IF(B156="","",B156*'Tabella Carichi Unitari'!$C$11)</f>
        <v/>
      </c>
      <c r="F156" s="109" t="str">
        <f>IF(B156="","",B156*'Tabella Carichi Unitari'!$K$11)</f>
        <v/>
      </c>
      <c r="G156" s="416"/>
      <c r="H156" s="415" t="str">
        <f>IF(G156="","",G156*'Tabella Carichi Unitari'!$G$10)</f>
        <v/>
      </c>
      <c r="I156" s="415" t="str">
        <f>IF(G156="","",G156*'Tabella Carichi Unitari'!$H$10)</f>
        <v/>
      </c>
      <c r="J156" s="415" t="str">
        <f>IF(G156="","",G156*'Tabella Carichi Unitari'!$C$10)</f>
        <v/>
      </c>
      <c r="K156" s="109" t="str">
        <f>IF(G156="","",G156*'Tabella Carichi Unitari'!$K$10)</f>
        <v/>
      </c>
      <c r="L156" s="416"/>
      <c r="M156" s="415" t="str">
        <f>IF(L156="","",L156*'Tabella Carichi Unitari'!$G$10)</f>
        <v/>
      </c>
      <c r="N156" s="415" t="str">
        <f>IF(L156="","",L156*'Tabella Carichi Unitari'!$H$10)</f>
        <v/>
      </c>
      <c r="O156" s="415" t="str">
        <f>IF(L156="","",L156*'Tabella Carichi Unitari'!$C$10)</f>
        <v/>
      </c>
      <c r="P156" s="109" t="str">
        <f>IF(L156="","",L156*'Tabella Carichi Unitari'!$K$10)</f>
        <v/>
      </c>
      <c r="Q156" s="416"/>
      <c r="R156" s="415" t="str">
        <f>IF(Q156="","",Q156*'Tabella Carichi Unitari'!$G$10)</f>
        <v/>
      </c>
      <c r="S156" s="415" t="str">
        <f>IF(Q156="","",Q156*'Tabella Carichi Unitari'!$H$10)</f>
        <v/>
      </c>
      <c r="T156" s="415" t="str">
        <f>IF(Q156="","",Q156*'Tabella Carichi Unitari'!$C$10)</f>
        <v/>
      </c>
      <c r="U156" s="109" t="str">
        <f>IF(Q156="","",Q156*'Tabella Carichi Unitari'!$K$10)</f>
        <v/>
      </c>
      <c r="V156" s="416"/>
      <c r="W156" s="415" t="str">
        <f>IF(V156="","",V156*'Tabella Carichi Unitari'!$G$10)</f>
        <v/>
      </c>
      <c r="X156" s="415" t="str">
        <f>IF(V156="","",V156*'Tabella Carichi Unitari'!$H$10)</f>
        <v/>
      </c>
      <c r="Y156" s="415" t="str">
        <f>IF(V156="","",V156*'Tabella Carichi Unitari'!$C$10)</f>
        <v/>
      </c>
      <c r="Z156" s="109" t="str">
        <f>IF(V156="","",V156*'Tabella Carichi Unitari'!$K$10)</f>
        <v/>
      </c>
      <c r="AB156" s="416"/>
      <c r="AC156" s="136" t="s">
        <v>314</v>
      </c>
      <c r="AD156" s="424"/>
      <c r="AE156" s="423" t="str">
        <f>IF(AD156="","",AD156*'Tabella Carichi Unitari'!$G$11)</f>
        <v/>
      </c>
      <c r="AF156" s="423" t="str">
        <f>IF(AD156="","",AD156*'Tabella Carichi Unitari'!$H$11)</f>
        <v/>
      </c>
      <c r="AG156" s="423" t="str">
        <f>IF(AD156="","",AD156*'Tabella Carichi Unitari'!$C$11)</f>
        <v/>
      </c>
      <c r="AH156" s="109" t="str">
        <f>IF(AD156="","",AD156*'Tabella Carichi Unitari'!$K$11)</f>
        <v/>
      </c>
      <c r="AI156" s="424"/>
      <c r="AJ156" s="423" t="str">
        <f>IF(AI156="","",AI156*'Tabella Carichi Unitari'!$G$10)</f>
        <v/>
      </c>
      <c r="AK156" s="423" t="str">
        <f>IF(AI156="","",AI156*'Tabella Carichi Unitari'!$H$10)</f>
        <v/>
      </c>
      <c r="AL156" s="423" t="str">
        <f>IF(AI156="","",AI156*'Tabella Carichi Unitari'!$C$10)</f>
        <v/>
      </c>
      <c r="AM156" s="109" t="str">
        <f>IF(AI156="","",AI156*'Tabella Carichi Unitari'!$K$10)</f>
        <v/>
      </c>
      <c r="AN156" s="424"/>
      <c r="AO156" s="423" t="str">
        <f>IF(AN156="","",AN156*'Tabella Carichi Unitari'!$G$10)</f>
        <v/>
      </c>
      <c r="AP156" s="423" t="str">
        <f>IF(AN156="","",AN156*'Tabella Carichi Unitari'!$H$10)</f>
        <v/>
      </c>
      <c r="AQ156" s="423" t="str">
        <f>IF(AN156="","",AN156*'Tabella Carichi Unitari'!$C$10)</f>
        <v/>
      </c>
      <c r="AR156" s="109" t="str">
        <f>IF(AN156="","",AN156*'Tabella Carichi Unitari'!$K$10)</f>
        <v/>
      </c>
      <c r="AS156" s="424"/>
      <c r="AT156" s="423" t="str">
        <f>IF(AS156="","",AS156*'Tabella Carichi Unitari'!$G$10)</f>
        <v/>
      </c>
      <c r="AU156" s="423" t="str">
        <f>IF(AS156="","",AS156*'Tabella Carichi Unitari'!$H$10)</f>
        <v/>
      </c>
      <c r="AV156" s="423" t="str">
        <f>IF(AS156="","",AS156*'Tabella Carichi Unitari'!$C$10)</f>
        <v/>
      </c>
      <c r="AW156" s="109" t="str">
        <f>IF(AS156="","",AS156*'Tabella Carichi Unitari'!$K$10)</f>
        <v/>
      </c>
      <c r="AX156" s="424"/>
      <c r="AY156" s="423" t="str">
        <f>IF(AX156="","",AX156*'Tabella Carichi Unitari'!$G$10)</f>
        <v/>
      </c>
      <c r="AZ156" s="423" t="str">
        <f>IF(AX156="","",AX156*'Tabella Carichi Unitari'!$H$10)</f>
        <v/>
      </c>
      <c r="BA156" s="423" t="str">
        <f>IF(AX156="","",AX156*'Tabella Carichi Unitari'!$C$10)</f>
        <v/>
      </c>
      <c r="BB156" s="109" t="str">
        <f>IF(AX156="","",AX156*'Tabella Carichi Unitari'!$K$10)</f>
        <v/>
      </c>
    </row>
    <row r="157" spans="1:54" x14ac:dyDescent="0.25">
      <c r="A157" s="136" t="s">
        <v>315</v>
      </c>
      <c r="B157" s="416"/>
      <c r="C157" s="415" t="str">
        <f>IF(B157="","",B157*'Tabella Carichi Unitari'!$G$12)</f>
        <v/>
      </c>
      <c r="D157" s="415" t="str">
        <f>IF(B157="","",B157*'Tabella Carichi Unitari'!$H$12)</f>
        <v/>
      </c>
      <c r="E157" s="415" t="str">
        <f>IF(B157="","",B157*'Tabella Carichi Unitari'!$C$12)</f>
        <v/>
      </c>
      <c r="F157" s="109" t="str">
        <f>IF(B157="","",B157*'Tabella Carichi Unitari'!$K$12)</f>
        <v/>
      </c>
      <c r="G157" s="416"/>
      <c r="H157" s="415" t="str">
        <f>IF(G157="","",G157*'Tabella Carichi Unitari'!$G$12)</f>
        <v/>
      </c>
      <c r="I157" s="415" t="str">
        <f>IF(G157="","",G157*'Tabella Carichi Unitari'!$H$12)</f>
        <v/>
      </c>
      <c r="J157" s="415" t="str">
        <f>IF(G157="","",G157*'Tabella Carichi Unitari'!$C$12)</f>
        <v/>
      </c>
      <c r="K157" s="109" t="str">
        <f>IF(G157="","",G157*'Tabella Carichi Unitari'!$K$12)</f>
        <v/>
      </c>
      <c r="L157" s="416"/>
      <c r="M157" s="415" t="str">
        <f>IF(L157="","",L157*'Tabella Carichi Unitari'!$G$12)</f>
        <v/>
      </c>
      <c r="N157" s="415" t="str">
        <f>IF(L157="","",L157*'Tabella Carichi Unitari'!$H$12)</f>
        <v/>
      </c>
      <c r="O157" s="415" t="str">
        <f>IF(L157="","",L157*'Tabella Carichi Unitari'!$C$12)</f>
        <v/>
      </c>
      <c r="P157" s="109" t="str">
        <f>IF(L157="","",L157*'Tabella Carichi Unitari'!$K$12)</f>
        <v/>
      </c>
      <c r="Q157" s="416"/>
      <c r="R157" s="415" t="str">
        <f>IF(Q157="","",Q157*'Tabella Carichi Unitari'!$G$12)</f>
        <v/>
      </c>
      <c r="S157" s="415" t="str">
        <f>IF(Q157="","",Q157*'Tabella Carichi Unitari'!$H$12)</f>
        <v/>
      </c>
      <c r="T157" s="415" t="str">
        <f>IF(Q157="","",Q157*'Tabella Carichi Unitari'!$C$12)</f>
        <v/>
      </c>
      <c r="U157" s="109" t="str">
        <f>IF(Q157="","",Q157*'Tabella Carichi Unitari'!$K$12)</f>
        <v/>
      </c>
      <c r="V157" s="416"/>
      <c r="W157" s="415" t="str">
        <f>IF(V157="","",V157*'Tabella Carichi Unitari'!$G$12)</f>
        <v/>
      </c>
      <c r="X157" s="415" t="str">
        <f>IF(V157="","",V157*'Tabella Carichi Unitari'!$H$12)</f>
        <v/>
      </c>
      <c r="Y157" s="415" t="str">
        <f>IF(V157="","",V157*'Tabella Carichi Unitari'!$C$12)</f>
        <v/>
      </c>
      <c r="Z157" s="109" t="str">
        <f>IF(V157="","",V157*'Tabella Carichi Unitari'!$K$12)</f>
        <v/>
      </c>
      <c r="AB157" s="416"/>
      <c r="AC157" s="136" t="s">
        <v>315</v>
      </c>
      <c r="AD157" s="424"/>
      <c r="AE157" s="423" t="str">
        <f>IF(AD157="","",AD157*'Tabella Carichi Unitari'!$G$12)</f>
        <v/>
      </c>
      <c r="AF157" s="423" t="str">
        <f>IF(AD157="","",AD157*'Tabella Carichi Unitari'!$H$12)</f>
        <v/>
      </c>
      <c r="AG157" s="423" t="str">
        <f>IF(AD157="","",AD157*'Tabella Carichi Unitari'!$C$12)</f>
        <v/>
      </c>
      <c r="AH157" s="109" t="str">
        <f>IF(AD157="","",AD157*'Tabella Carichi Unitari'!$K$12)</f>
        <v/>
      </c>
      <c r="AI157" s="424"/>
      <c r="AJ157" s="423" t="str">
        <f>IF(AI157="","",AI157*'Tabella Carichi Unitari'!$G$12)</f>
        <v/>
      </c>
      <c r="AK157" s="423" t="str">
        <f>IF(AI157="","",AI157*'Tabella Carichi Unitari'!$H$12)</f>
        <v/>
      </c>
      <c r="AL157" s="423" t="str">
        <f>IF(AI157="","",AI157*'Tabella Carichi Unitari'!$C$12)</f>
        <v/>
      </c>
      <c r="AM157" s="109" t="str">
        <f>IF(AI157="","",AI157*'Tabella Carichi Unitari'!$K$12)</f>
        <v/>
      </c>
      <c r="AN157" s="424"/>
      <c r="AO157" s="423" t="str">
        <f>IF(AN157="","",AN157*'Tabella Carichi Unitari'!$G$12)</f>
        <v/>
      </c>
      <c r="AP157" s="423" t="str">
        <f>IF(AN157="","",AN157*'Tabella Carichi Unitari'!$H$12)</f>
        <v/>
      </c>
      <c r="AQ157" s="423" t="str">
        <f>IF(AN157="","",AN157*'Tabella Carichi Unitari'!$C$12)</f>
        <v/>
      </c>
      <c r="AR157" s="109" t="str">
        <f>IF(AN157="","",AN157*'Tabella Carichi Unitari'!$K$12)</f>
        <v/>
      </c>
      <c r="AS157" s="424"/>
      <c r="AT157" s="423" t="str">
        <f>IF(AS157="","",AS157*'Tabella Carichi Unitari'!$G$12)</f>
        <v/>
      </c>
      <c r="AU157" s="423" t="str">
        <f>IF(AS157="","",AS157*'Tabella Carichi Unitari'!$H$12)</f>
        <v/>
      </c>
      <c r="AV157" s="423" t="str">
        <f>IF(AS157="","",AS157*'Tabella Carichi Unitari'!$C$12)</f>
        <v/>
      </c>
      <c r="AW157" s="109" t="str">
        <f>IF(AS157="","",AS157*'Tabella Carichi Unitari'!$K$12)</f>
        <v/>
      </c>
      <c r="AX157" s="424"/>
      <c r="AY157" s="423" t="str">
        <f>IF(AX157="","",AX157*'Tabella Carichi Unitari'!$G$12)</f>
        <v/>
      </c>
      <c r="AZ157" s="423" t="str">
        <f>IF(AX157="","",AX157*'Tabella Carichi Unitari'!$H$12)</f>
        <v/>
      </c>
      <c r="BA157" s="423" t="str">
        <f>IF(AX157="","",AX157*'Tabella Carichi Unitari'!$C$12)</f>
        <v/>
      </c>
      <c r="BB157" s="109" t="str">
        <f>IF(AX157="","",AX157*'Tabella Carichi Unitari'!$K$12)</f>
        <v/>
      </c>
    </row>
    <row r="158" spans="1:54" x14ac:dyDescent="0.25">
      <c r="A158" s="136" t="s">
        <v>391</v>
      </c>
      <c r="B158" s="416">
        <v>1</v>
      </c>
      <c r="C158" s="415">
        <f>IF(B158="","",B158*'Tabella Carichi Unitari'!$G$15)</f>
        <v>3.8415000000000004</v>
      </c>
      <c r="D158" s="415">
        <f>IF(B158="","",B158*'Tabella Carichi Unitari'!$H$15)</f>
        <v>0</v>
      </c>
      <c r="E158" s="415">
        <f>IF(B158="","",B158*'Tabella Carichi Unitari'!$C$15)</f>
        <v>2.9550000000000001</v>
      </c>
      <c r="F158" s="109">
        <f>IF(B158="","",B158*'Tabella Carichi Unitari'!$K$15)</f>
        <v>0</v>
      </c>
      <c r="G158" s="416">
        <v>1</v>
      </c>
      <c r="H158" s="415">
        <f>IF(G158="","",G158*'Tabella Carichi Unitari'!$G$14)</f>
        <v>4.8165000000000004</v>
      </c>
      <c r="I158" s="415">
        <f>IF(G158="","",G158*'Tabella Carichi Unitari'!$H$14)</f>
        <v>0</v>
      </c>
      <c r="J158" s="415">
        <f>IF(G158="","",G158*'Tabella Carichi Unitari'!$C$14)</f>
        <v>3.7050000000000001</v>
      </c>
      <c r="K158" s="109">
        <f>IF(G158="","",G158*'Tabella Carichi Unitari'!$K$14)</f>
        <v>0</v>
      </c>
      <c r="L158" s="416">
        <v>1</v>
      </c>
      <c r="M158" s="415">
        <f>IF(L158="","",L158*'Tabella Carichi Unitari'!$G$13)</f>
        <v>5.7915000000000001</v>
      </c>
      <c r="N158" s="415">
        <f>IF(L158="","",L158*'Tabella Carichi Unitari'!$H$13)</f>
        <v>0</v>
      </c>
      <c r="O158" s="415">
        <f>IF(L158="","",L158*'Tabella Carichi Unitari'!$C$13)</f>
        <v>4.4550000000000001</v>
      </c>
      <c r="P158" s="109">
        <f>IF(L158="","",L158*'Tabella Carichi Unitari'!$K$13)</f>
        <v>0</v>
      </c>
      <c r="Q158" s="416">
        <v>1</v>
      </c>
      <c r="R158" s="415">
        <f>IF(Q158="","",Q158*'Tabella Carichi Unitari'!$G$13)</f>
        <v>5.7915000000000001</v>
      </c>
      <c r="S158" s="415">
        <f>IF(Q158="","",Q158*'Tabella Carichi Unitari'!$H$13)</f>
        <v>0</v>
      </c>
      <c r="T158" s="415">
        <f>IF(Q158="","",Q158*'Tabella Carichi Unitari'!$C$13)</f>
        <v>4.4550000000000001</v>
      </c>
      <c r="U158" s="109">
        <f>IF(Q158="","",Q158*'Tabella Carichi Unitari'!$K$13)</f>
        <v>0</v>
      </c>
      <c r="V158" s="416">
        <v>1</v>
      </c>
      <c r="W158" s="415">
        <f>IF(V158="","",V158*'Tabella Carichi Unitari'!$G$13)</f>
        <v>5.7915000000000001</v>
      </c>
      <c r="X158" s="415">
        <f>IF(V158="","",V158*'Tabella Carichi Unitari'!$H$13)</f>
        <v>0</v>
      </c>
      <c r="Y158" s="415">
        <f>IF(V158="","",V158*'Tabella Carichi Unitari'!$C$13)</f>
        <v>4.4550000000000001</v>
      </c>
      <c r="Z158" s="109">
        <f>IF(V158="","",V158*'Tabella Carichi Unitari'!$K$13)</f>
        <v>0</v>
      </c>
      <c r="AB158" s="416"/>
      <c r="AC158" s="136" t="s">
        <v>391</v>
      </c>
      <c r="AD158" s="424">
        <v>1</v>
      </c>
      <c r="AE158" s="423">
        <f>IF(AD158="","",AD158*'Tabella Carichi Unitari'!$G$15)</f>
        <v>3.8415000000000004</v>
      </c>
      <c r="AF158" s="423">
        <f>IF(AD158="","",AD158*'Tabella Carichi Unitari'!$H$15)</f>
        <v>0</v>
      </c>
      <c r="AG158" s="423">
        <f>IF(AD158="","",AD158*'Tabella Carichi Unitari'!$C$15)</f>
        <v>2.9550000000000001</v>
      </c>
      <c r="AH158" s="109">
        <f>IF(AD158="","",AD158*'Tabella Carichi Unitari'!$K$15)</f>
        <v>0</v>
      </c>
      <c r="AI158" s="424">
        <v>1</v>
      </c>
      <c r="AJ158" s="423">
        <f>IF(AI158="","",AI158*'Tabella Carichi Unitari'!$G$14)</f>
        <v>4.8165000000000004</v>
      </c>
      <c r="AK158" s="423">
        <f>IF(AI158="","",AI158*'Tabella Carichi Unitari'!$H$14)</f>
        <v>0</v>
      </c>
      <c r="AL158" s="423">
        <f>IF(AI158="","",AI158*'Tabella Carichi Unitari'!$C$14)</f>
        <v>3.7050000000000001</v>
      </c>
      <c r="AM158" s="109">
        <f>IF(AI158="","",AI158*'Tabella Carichi Unitari'!$K$14)</f>
        <v>0</v>
      </c>
      <c r="AN158" s="424">
        <v>1</v>
      </c>
      <c r="AO158" s="423">
        <f>IF(AN158="","",AN158*'Tabella Carichi Unitari'!$G$13)</f>
        <v>5.7915000000000001</v>
      </c>
      <c r="AP158" s="423">
        <f>IF(AN158="","",AN158*'Tabella Carichi Unitari'!$H$13)</f>
        <v>0</v>
      </c>
      <c r="AQ158" s="423">
        <f>IF(AN158="","",AN158*'Tabella Carichi Unitari'!$C$13)</f>
        <v>4.4550000000000001</v>
      </c>
      <c r="AR158" s="109">
        <f>IF(AN158="","",AN158*'Tabella Carichi Unitari'!$K$13)</f>
        <v>0</v>
      </c>
      <c r="AS158" s="424">
        <v>1</v>
      </c>
      <c r="AT158" s="423">
        <f>IF(AS158="","",AS158*'Tabella Carichi Unitari'!$G$13)</f>
        <v>5.7915000000000001</v>
      </c>
      <c r="AU158" s="423">
        <f>IF(AS158="","",AS158*'Tabella Carichi Unitari'!$H$13)</f>
        <v>0</v>
      </c>
      <c r="AV158" s="423">
        <f>IF(AS158="","",AS158*'Tabella Carichi Unitari'!$C$13)</f>
        <v>4.4550000000000001</v>
      </c>
      <c r="AW158" s="109">
        <f>IF(AS158="","",AS158*'Tabella Carichi Unitari'!$K$13)</f>
        <v>0</v>
      </c>
      <c r="AX158" s="424">
        <v>1</v>
      </c>
      <c r="AY158" s="423">
        <f>IF(AX158="","",AX158*'Tabella Carichi Unitari'!$G$13)</f>
        <v>5.7915000000000001</v>
      </c>
      <c r="AZ158" s="423">
        <f>IF(AX158="","",AX158*'Tabella Carichi Unitari'!$H$13)</f>
        <v>0</v>
      </c>
      <c r="BA158" s="423">
        <f>IF(AX158="","",AX158*'Tabella Carichi Unitari'!$C$13)</f>
        <v>4.4550000000000001</v>
      </c>
      <c r="BB158" s="109">
        <f>IF(AX158="","",AX158*'Tabella Carichi Unitari'!$K$13)</f>
        <v>0</v>
      </c>
    </row>
    <row r="159" spans="1:54" x14ac:dyDescent="0.25">
      <c r="A159" s="136" t="s">
        <v>392</v>
      </c>
      <c r="B159" s="416"/>
      <c r="C159" s="415" t="str">
        <f>IF(B159="","",B159*'Tabella Carichi Unitari'!$G$16)</f>
        <v/>
      </c>
      <c r="D159" s="415" t="str">
        <f>IF(B159="","",B159*'Tabella Carichi Unitari'!$H$16)</f>
        <v/>
      </c>
      <c r="E159" s="415" t="str">
        <f>IF(B159="","",B159*'Tabella Carichi Unitari'!$C$16)</f>
        <v/>
      </c>
      <c r="F159" s="109" t="str">
        <f>IF(B159="","",B159*'Tabella Carichi Unitari'!$K$16)</f>
        <v/>
      </c>
      <c r="G159" s="416"/>
      <c r="H159" s="415" t="str">
        <f>IF(G159="","",G159*'Tabella Carichi Unitari'!$G$16)</f>
        <v/>
      </c>
      <c r="I159" s="415" t="str">
        <f>IF(G159="","",G159*'Tabella Carichi Unitari'!$H$16)</f>
        <v/>
      </c>
      <c r="J159" s="415" t="str">
        <f>IF(G159="","",G159*'Tabella Carichi Unitari'!$C$16)</f>
        <v/>
      </c>
      <c r="K159" s="109" t="str">
        <f>IF(G159="","",G159*'Tabella Carichi Unitari'!$K$16)</f>
        <v/>
      </c>
      <c r="L159" s="416"/>
      <c r="M159" s="415" t="str">
        <f>IF(L159="","",L159*'Tabella Carichi Unitari'!$G$16)</f>
        <v/>
      </c>
      <c r="N159" s="415" t="str">
        <f>IF(L159="","",L159*'Tabella Carichi Unitari'!$H$16)</f>
        <v/>
      </c>
      <c r="O159" s="415" t="str">
        <f>IF(L159="","",L159*'Tabella Carichi Unitari'!$C$16)</f>
        <v/>
      </c>
      <c r="P159" s="109" t="str">
        <f>IF(L159="","",L159*'Tabella Carichi Unitari'!$K$16)</f>
        <v/>
      </c>
      <c r="Q159" s="416"/>
      <c r="R159" s="415" t="str">
        <f>IF(Q159="","",Q159*'Tabella Carichi Unitari'!$G$16)</f>
        <v/>
      </c>
      <c r="S159" s="415" t="str">
        <f>IF(Q159="","",Q159*'Tabella Carichi Unitari'!$H$16)</f>
        <v/>
      </c>
      <c r="T159" s="415" t="str">
        <f>IF(Q159="","",Q159*'Tabella Carichi Unitari'!$C$16)</f>
        <v/>
      </c>
      <c r="U159" s="109" t="str">
        <f>IF(Q159="","",Q159*'Tabella Carichi Unitari'!$K$16)</f>
        <v/>
      </c>
      <c r="V159" s="416"/>
      <c r="W159" s="415" t="str">
        <f>IF(V159="","",V159*'Tabella Carichi Unitari'!$G$16)</f>
        <v/>
      </c>
      <c r="X159" s="415" t="str">
        <f>IF(V159="","",V159*'Tabella Carichi Unitari'!$H$16)</f>
        <v/>
      </c>
      <c r="Y159" s="415" t="str">
        <f>IF(V159="","",V159*'Tabella Carichi Unitari'!$C$16)</f>
        <v/>
      </c>
      <c r="Z159" s="109" t="str">
        <f>IF(V159="","",V159*'Tabella Carichi Unitari'!$K$16)</f>
        <v/>
      </c>
      <c r="AB159" s="416"/>
      <c r="AC159" s="136" t="s">
        <v>392</v>
      </c>
      <c r="AD159" s="424"/>
      <c r="AE159" s="423" t="str">
        <f>IF(AD159="","",AD159*'Tabella Carichi Unitari'!$G$16)</f>
        <v/>
      </c>
      <c r="AF159" s="423" t="str">
        <f>IF(AD159="","",AD159*'Tabella Carichi Unitari'!$H$16)</f>
        <v/>
      </c>
      <c r="AG159" s="423" t="str">
        <f>IF(AD159="","",AD159*'Tabella Carichi Unitari'!$C$16)</f>
        <v/>
      </c>
      <c r="AH159" s="109" t="str">
        <f>IF(AD159="","",AD159*'Tabella Carichi Unitari'!$K$16)</f>
        <v/>
      </c>
      <c r="AI159" s="424"/>
      <c r="AJ159" s="423" t="str">
        <f>IF(AI159="","",AI159*'Tabella Carichi Unitari'!$G$16)</f>
        <v/>
      </c>
      <c r="AK159" s="423" t="str">
        <f>IF(AI159="","",AI159*'Tabella Carichi Unitari'!$H$16)</f>
        <v/>
      </c>
      <c r="AL159" s="423" t="str">
        <f>IF(AI159="","",AI159*'Tabella Carichi Unitari'!$C$16)</f>
        <v/>
      </c>
      <c r="AM159" s="109" t="str">
        <f>IF(AI159="","",AI159*'Tabella Carichi Unitari'!$K$16)</f>
        <v/>
      </c>
      <c r="AN159" s="424"/>
      <c r="AO159" s="423" t="str">
        <f>IF(AN159="","",AN159*'Tabella Carichi Unitari'!$G$16)</f>
        <v/>
      </c>
      <c r="AP159" s="423" t="str">
        <f>IF(AN159="","",AN159*'Tabella Carichi Unitari'!$H$16)</f>
        <v/>
      </c>
      <c r="AQ159" s="423" t="str">
        <f>IF(AN159="","",AN159*'Tabella Carichi Unitari'!$C$16)</f>
        <v/>
      </c>
      <c r="AR159" s="109" t="str">
        <f>IF(AN159="","",AN159*'Tabella Carichi Unitari'!$K$16)</f>
        <v/>
      </c>
      <c r="AS159" s="424"/>
      <c r="AT159" s="423" t="str">
        <f>IF(AS159="","",AS159*'Tabella Carichi Unitari'!$G$16)</f>
        <v/>
      </c>
      <c r="AU159" s="423" t="str">
        <f>IF(AS159="","",AS159*'Tabella Carichi Unitari'!$H$16)</f>
        <v/>
      </c>
      <c r="AV159" s="423" t="str">
        <f>IF(AS159="","",AS159*'Tabella Carichi Unitari'!$C$16)</f>
        <v/>
      </c>
      <c r="AW159" s="109" t="str">
        <f>IF(AS159="","",AS159*'Tabella Carichi Unitari'!$K$16)</f>
        <v/>
      </c>
      <c r="AX159" s="424"/>
      <c r="AY159" s="423" t="str">
        <f>IF(AX159="","",AX159*'Tabella Carichi Unitari'!$G$16)</f>
        <v/>
      </c>
      <c r="AZ159" s="423" t="str">
        <f>IF(AX159="","",AX159*'Tabella Carichi Unitari'!$H$16)</f>
        <v/>
      </c>
      <c r="BA159" s="423" t="str">
        <f>IF(AX159="","",AX159*'Tabella Carichi Unitari'!$C$16)</f>
        <v/>
      </c>
      <c r="BB159" s="109" t="str">
        <f>IF(AX159="","",AX159*'Tabella Carichi Unitari'!$K$16)</f>
        <v/>
      </c>
    </row>
    <row r="160" spans="1:54" x14ac:dyDescent="0.25">
      <c r="A160" s="136" t="s">
        <v>313</v>
      </c>
      <c r="B160" s="416"/>
      <c r="C160" s="168" t="str">
        <f>IF(B160="","",B160*'Tabella Carichi Unitari'!$G$17)</f>
        <v/>
      </c>
      <c r="D160" s="168" t="str">
        <f>IF(B160="","",B160*'Tabella Carichi Unitari'!$H$17)</f>
        <v/>
      </c>
      <c r="E160" s="168" t="str">
        <f>IF(B160="","",B160*'Tabella Carichi Unitari'!$C$17)</f>
        <v/>
      </c>
      <c r="F160" s="110" t="str">
        <f>IF(B160="","",B160*'Tabella Carichi Unitari'!$K$17)</f>
        <v/>
      </c>
      <c r="G160" s="416"/>
      <c r="H160" s="168" t="str">
        <f>IF(G160="","",G160*'Tabella Carichi Unitari'!$G$17)</f>
        <v/>
      </c>
      <c r="I160" s="168" t="str">
        <f>IF(G160="","",G160*'Tabella Carichi Unitari'!$H$17)</f>
        <v/>
      </c>
      <c r="J160" s="168" t="str">
        <f>IF(G160="","",G160*'Tabella Carichi Unitari'!$C$17)</f>
        <v/>
      </c>
      <c r="K160" s="110" t="str">
        <f>IF(G160="","",G160*'Tabella Carichi Unitari'!$K$17)</f>
        <v/>
      </c>
      <c r="L160" s="416"/>
      <c r="M160" s="168" t="str">
        <f>IF(L160="","",L160*'Tabella Carichi Unitari'!$G$17)</f>
        <v/>
      </c>
      <c r="N160" s="168" t="str">
        <f>IF(L160="","",L160*'Tabella Carichi Unitari'!$H$17)</f>
        <v/>
      </c>
      <c r="O160" s="168" t="str">
        <f>IF(L160="","",L160*'Tabella Carichi Unitari'!$C$17)</f>
        <v/>
      </c>
      <c r="P160" s="110" t="str">
        <f>IF(L160="","",L160*'Tabella Carichi Unitari'!$K$17)</f>
        <v/>
      </c>
      <c r="Q160" s="416"/>
      <c r="R160" s="168" t="str">
        <f>IF(Q160="","",Q160*'Tabella Carichi Unitari'!$G$17)</f>
        <v/>
      </c>
      <c r="S160" s="168" t="str">
        <f>IF(Q160="","",Q160*'Tabella Carichi Unitari'!$H$17)</f>
        <v/>
      </c>
      <c r="T160" s="168" t="str">
        <f>IF(Q160="","",Q160*'Tabella Carichi Unitari'!$C$17)</f>
        <v/>
      </c>
      <c r="U160" s="110" t="str">
        <f>IF(Q160="","",Q160*'Tabella Carichi Unitari'!$K$17)</f>
        <v/>
      </c>
      <c r="V160" s="416"/>
      <c r="W160" s="168" t="str">
        <f>IF(V160="","",V160*'Tabella Carichi Unitari'!$G$17)</f>
        <v/>
      </c>
      <c r="X160" s="168" t="str">
        <f>IF(V160="","",V160*'Tabella Carichi Unitari'!$H$17)</f>
        <v/>
      </c>
      <c r="Y160" s="168" t="str">
        <f>IF(V160="","",V160*'Tabella Carichi Unitari'!$C$17)</f>
        <v/>
      </c>
      <c r="Z160" s="110" t="str">
        <f>IF(V160="","",V160*'Tabella Carichi Unitari'!$K$17)</f>
        <v/>
      </c>
      <c r="AB160" s="416"/>
      <c r="AC160" s="136" t="s">
        <v>313</v>
      </c>
      <c r="AD160" s="424"/>
      <c r="AE160" s="168" t="str">
        <f>IF(AD160="","",AD160*'Tabella Carichi Unitari'!$G$17)</f>
        <v/>
      </c>
      <c r="AF160" s="168" t="str">
        <f>IF(AD160="","",AD160*'Tabella Carichi Unitari'!$H$17)</f>
        <v/>
      </c>
      <c r="AG160" s="168" t="str">
        <f>IF(AD160="","",AD160*'Tabella Carichi Unitari'!$C$17)</f>
        <v/>
      </c>
      <c r="AH160" s="110" t="str">
        <f>IF(AD160="","",AD160*'Tabella Carichi Unitari'!$K$17)</f>
        <v/>
      </c>
      <c r="AI160" s="424"/>
      <c r="AJ160" s="168" t="str">
        <f>IF(AI160="","",AI160*'Tabella Carichi Unitari'!$G$17)</f>
        <v/>
      </c>
      <c r="AK160" s="168" t="str">
        <f>IF(AI160="","",AI160*'Tabella Carichi Unitari'!$H$17)</f>
        <v/>
      </c>
      <c r="AL160" s="168" t="str">
        <f>IF(AI160="","",AI160*'Tabella Carichi Unitari'!$C$17)</f>
        <v/>
      </c>
      <c r="AM160" s="110" t="str">
        <f>IF(AI160="","",AI160*'Tabella Carichi Unitari'!$K$17)</f>
        <v/>
      </c>
      <c r="AN160" s="424"/>
      <c r="AO160" s="168" t="str">
        <f>IF(AN160="","",AN160*'Tabella Carichi Unitari'!$G$17)</f>
        <v/>
      </c>
      <c r="AP160" s="168" t="str">
        <f>IF(AN160="","",AN160*'Tabella Carichi Unitari'!$H$17)</f>
        <v/>
      </c>
      <c r="AQ160" s="168" t="str">
        <f>IF(AN160="","",AN160*'Tabella Carichi Unitari'!$C$17)</f>
        <v/>
      </c>
      <c r="AR160" s="110" t="str">
        <f>IF(AN160="","",AN160*'Tabella Carichi Unitari'!$K$17)</f>
        <v/>
      </c>
      <c r="AS160" s="424"/>
      <c r="AT160" s="168" t="str">
        <f>IF(AS160="","",AS160*'Tabella Carichi Unitari'!$G$17)</f>
        <v/>
      </c>
      <c r="AU160" s="168" t="str">
        <f>IF(AS160="","",AS160*'Tabella Carichi Unitari'!$H$17)</f>
        <v/>
      </c>
      <c r="AV160" s="168" t="str">
        <f>IF(AS160="","",AS160*'Tabella Carichi Unitari'!$C$17)</f>
        <v/>
      </c>
      <c r="AW160" s="110" t="str">
        <f>IF(AS160="","",AS160*'Tabella Carichi Unitari'!$K$17)</f>
        <v/>
      </c>
      <c r="AX160" s="424"/>
      <c r="AY160" s="168" t="str">
        <f>IF(AX160="","",AX160*'Tabella Carichi Unitari'!$G$17)</f>
        <v/>
      </c>
      <c r="AZ160" s="168" t="str">
        <f>IF(AX160="","",AX160*'Tabella Carichi Unitari'!$H$17)</f>
        <v/>
      </c>
      <c r="BA160" s="168" t="str">
        <f>IF(AX160="","",AX160*'Tabella Carichi Unitari'!$C$17)</f>
        <v/>
      </c>
      <c r="BB160" s="110" t="str">
        <f>IF(AX160="","",AX160*'Tabella Carichi Unitari'!$K$17)</f>
        <v/>
      </c>
    </row>
    <row r="161" spans="1:54" x14ac:dyDescent="0.25">
      <c r="A161" s="136"/>
      <c r="B161" s="416"/>
      <c r="C161" s="415">
        <f>SUM(C155:C160)</f>
        <v>9.041500000000001</v>
      </c>
      <c r="D161" s="415">
        <f t="shared" ref="D161" si="115">SUM(D155:D160)</f>
        <v>3</v>
      </c>
      <c r="E161" s="415">
        <f t="shared" ref="E161" si="116">SUM(E155:E160)</f>
        <v>6.9550000000000001</v>
      </c>
      <c r="F161" s="415">
        <f t="shared" ref="F161" si="117">SUM(F155:F160)</f>
        <v>0.6</v>
      </c>
      <c r="G161" s="415"/>
      <c r="H161" s="415">
        <f t="shared" ref="H161" si="118">SUM(H155:H160)</f>
        <v>9.8287800000000001</v>
      </c>
      <c r="I161" s="415">
        <f t="shared" ref="I161" si="119">SUM(I155:I160)</f>
        <v>4.8</v>
      </c>
      <c r="J161" s="415">
        <f t="shared" ref="J161" si="120">SUM(J155:J160)</f>
        <v>7.5605999999999991</v>
      </c>
      <c r="K161" s="415">
        <f t="shared" ref="K161" si="121">SUM(K155:K160)</f>
        <v>1.7999999999999998</v>
      </c>
      <c r="L161" s="415"/>
      <c r="M161" s="415">
        <f t="shared" ref="M161" si="122">SUM(M155:M160)</f>
        <v>10.80378</v>
      </c>
      <c r="N161" s="415">
        <f t="shared" ref="N161" si="123">SUM(N155:N160)</f>
        <v>4.8</v>
      </c>
      <c r="O161" s="415">
        <f t="shared" ref="O161" si="124">SUM(O155:O160)</f>
        <v>8.3105999999999991</v>
      </c>
      <c r="P161" s="415">
        <f t="shared" ref="P161" si="125">SUM(P155:P160)</f>
        <v>1.7999999999999998</v>
      </c>
      <c r="Q161" s="415"/>
      <c r="R161" s="415">
        <f t="shared" ref="R161" si="126">SUM(R155:R160)</f>
        <v>10.80378</v>
      </c>
      <c r="S161" s="415">
        <f t="shared" ref="S161" si="127">SUM(S155:S160)</f>
        <v>4.8</v>
      </c>
      <c r="T161" s="415">
        <f t="shared" ref="T161" si="128">SUM(T155:T160)</f>
        <v>8.3105999999999991</v>
      </c>
      <c r="U161" s="415">
        <f t="shared" ref="U161" si="129">SUM(U155:U160)</f>
        <v>1.7999999999999998</v>
      </c>
      <c r="V161" s="415"/>
      <c r="W161" s="415">
        <f t="shared" ref="W161" si="130">SUM(W155:W160)</f>
        <v>10.80378</v>
      </c>
      <c r="X161" s="415">
        <f t="shared" ref="X161" si="131">SUM(X155:X160)</f>
        <v>4.8</v>
      </c>
      <c r="Y161" s="415">
        <f t="shared" ref="Y161" si="132">SUM(Y155:Y160)</f>
        <v>8.3105999999999991</v>
      </c>
      <c r="Z161" s="415">
        <f t="shared" ref="Z161" si="133">SUM(Z155:Z160)</f>
        <v>1.7999999999999998</v>
      </c>
      <c r="AB161" s="416"/>
      <c r="AC161" s="136"/>
      <c r="AD161" s="424"/>
      <c r="AE161" s="423">
        <f>SUM(AE155:AE160)</f>
        <v>29.8415</v>
      </c>
      <c r="AF161" s="423">
        <f t="shared" ref="AF161:AH161" si="134">SUM(AF155:AF160)</f>
        <v>15</v>
      </c>
      <c r="AG161" s="423">
        <f t="shared" si="134"/>
        <v>22.954999999999998</v>
      </c>
      <c r="AH161" s="423">
        <f t="shared" si="134"/>
        <v>3</v>
      </c>
      <c r="AI161" s="423"/>
      <c r="AJ161" s="423">
        <f t="shared" ref="AJ161:AM161" si="135">SUM(AJ155:AJ160)</f>
        <v>29.8779</v>
      </c>
      <c r="AK161" s="423">
        <f t="shared" si="135"/>
        <v>24</v>
      </c>
      <c r="AL161" s="423">
        <f t="shared" si="135"/>
        <v>22.982999999999997</v>
      </c>
      <c r="AM161" s="423">
        <f t="shared" si="135"/>
        <v>9</v>
      </c>
      <c r="AN161" s="423"/>
      <c r="AO161" s="423">
        <f t="shared" ref="AO161:AR161" si="136">SUM(AO155:AO160)</f>
        <v>30.852899999999998</v>
      </c>
      <c r="AP161" s="423">
        <f t="shared" si="136"/>
        <v>24</v>
      </c>
      <c r="AQ161" s="423">
        <f t="shared" si="136"/>
        <v>23.732999999999997</v>
      </c>
      <c r="AR161" s="423">
        <f t="shared" si="136"/>
        <v>9</v>
      </c>
      <c r="AS161" s="423"/>
      <c r="AT161" s="423">
        <f t="shared" ref="AT161:AW161" si="137">SUM(AT155:AT160)</f>
        <v>30.852899999999998</v>
      </c>
      <c r="AU161" s="423">
        <f t="shared" si="137"/>
        <v>24</v>
      </c>
      <c r="AV161" s="423">
        <f t="shared" si="137"/>
        <v>23.732999999999997</v>
      </c>
      <c r="AW161" s="423">
        <f t="shared" si="137"/>
        <v>9</v>
      </c>
      <c r="AX161" s="423"/>
      <c r="AY161" s="423">
        <f t="shared" ref="AY161:BB161" si="138">SUM(AY155:AY160)</f>
        <v>30.852899999999998</v>
      </c>
      <c r="AZ161" s="423">
        <f t="shared" si="138"/>
        <v>24</v>
      </c>
      <c r="BA161" s="423">
        <f t="shared" si="138"/>
        <v>23.732999999999997</v>
      </c>
      <c r="BB161" s="423">
        <f t="shared" si="138"/>
        <v>9</v>
      </c>
    </row>
    <row r="162" spans="1:54" x14ac:dyDescent="0.25">
      <c r="B162" s="416"/>
      <c r="C162" s="612">
        <f>C161+D161</f>
        <v>12.041500000000001</v>
      </c>
      <c r="D162" s="612"/>
      <c r="E162" s="612">
        <f>E161+F161</f>
        <v>7.5549999999999997</v>
      </c>
      <c r="F162" s="612"/>
      <c r="G162" s="416"/>
      <c r="H162" s="612">
        <f>H161+I161</f>
        <v>14.628779999999999</v>
      </c>
      <c r="I162" s="612"/>
      <c r="J162" s="612">
        <f>J161+K161</f>
        <v>9.360599999999998</v>
      </c>
      <c r="K162" s="612"/>
      <c r="L162" s="416"/>
      <c r="M162" s="612">
        <f>M161+N161</f>
        <v>15.60378</v>
      </c>
      <c r="N162" s="612"/>
      <c r="O162" s="612">
        <f>O161+P161</f>
        <v>10.110599999999998</v>
      </c>
      <c r="P162" s="612"/>
      <c r="Q162" s="416"/>
      <c r="R162" s="612">
        <f>R161+S161</f>
        <v>15.60378</v>
      </c>
      <c r="S162" s="612"/>
      <c r="T162" s="612">
        <f>T161+U161</f>
        <v>10.110599999999998</v>
      </c>
      <c r="U162" s="612"/>
      <c r="V162" s="416"/>
      <c r="W162" s="612">
        <f>W161+X161</f>
        <v>15.60378</v>
      </c>
      <c r="X162" s="612"/>
      <c r="Y162" s="612">
        <f>Y161+Z161</f>
        <v>10.110599999999998</v>
      </c>
      <c r="Z162" s="612"/>
      <c r="AB162" s="416"/>
      <c r="AC162"/>
      <c r="AD162" s="424"/>
      <c r="AE162" s="612">
        <f>AE161+AF161</f>
        <v>44.841499999999996</v>
      </c>
      <c r="AF162" s="612"/>
      <c r="AG162" s="612">
        <f>AG161+AH161</f>
        <v>25.954999999999998</v>
      </c>
      <c r="AH162" s="612"/>
      <c r="AI162" s="424"/>
      <c r="AJ162" s="612">
        <f>AJ161+AK161</f>
        <v>53.877899999999997</v>
      </c>
      <c r="AK162" s="612"/>
      <c r="AL162" s="612">
        <f>AL161+AM161</f>
        <v>31.982999999999997</v>
      </c>
      <c r="AM162" s="612"/>
      <c r="AN162" s="424"/>
      <c r="AO162" s="612">
        <f>AO161+AP161</f>
        <v>54.852899999999998</v>
      </c>
      <c r="AP162" s="612"/>
      <c r="AQ162" s="612">
        <f>AQ161+AR161</f>
        <v>32.732999999999997</v>
      </c>
      <c r="AR162" s="612"/>
      <c r="AS162" s="424"/>
      <c r="AT162" s="612">
        <f>AT161+AU161</f>
        <v>54.852899999999998</v>
      </c>
      <c r="AU162" s="612"/>
      <c r="AV162" s="612">
        <f>AV161+AW161</f>
        <v>32.732999999999997</v>
      </c>
      <c r="AW162" s="612"/>
      <c r="AX162" s="424"/>
      <c r="AY162" s="612">
        <f>AY161+AZ161</f>
        <v>54.852899999999998</v>
      </c>
      <c r="AZ162" s="612"/>
      <c r="BA162" s="612">
        <f>BA161+BB161</f>
        <v>32.732999999999997</v>
      </c>
      <c r="BB162" s="612"/>
    </row>
    <row r="163" spans="1:54" x14ac:dyDescent="0.25">
      <c r="B163" s="416"/>
      <c r="G163" s="416"/>
      <c r="L163" s="416"/>
      <c r="Q163" s="416"/>
      <c r="V163" s="416"/>
      <c r="AB163" s="416"/>
      <c r="AC163" s="416"/>
      <c r="AD163" s="416"/>
      <c r="AE163" s="416"/>
      <c r="AF163" s="416"/>
      <c r="AG163" s="416"/>
      <c r="AH163" s="416"/>
      <c r="AI163" s="416"/>
      <c r="AJ163" s="416"/>
      <c r="AK163" s="416"/>
      <c r="AL163" s="416"/>
      <c r="AM163" s="416"/>
      <c r="AN163" s="416"/>
      <c r="AO163" s="416"/>
      <c r="AP163" s="416"/>
      <c r="AQ163" s="416"/>
      <c r="AR163" s="416"/>
      <c r="AS163" s="416"/>
      <c r="AT163" s="416"/>
      <c r="AU163" s="416"/>
      <c r="AV163" s="416"/>
      <c r="AW163" s="416"/>
    </row>
    <row r="164" spans="1:54" x14ac:dyDescent="0.25">
      <c r="B164" s="416"/>
      <c r="G164" s="416"/>
      <c r="L164" s="416"/>
      <c r="Q164" s="416"/>
      <c r="V164" s="416"/>
      <c r="AB164" s="416"/>
      <c r="AC164" s="416"/>
      <c r="AD164" s="416"/>
      <c r="AE164" s="416"/>
      <c r="AF164" s="416"/>
      <c r="AG164" s="416"/>
      <c r="AH164" s="416"/>
      <c r="AI164" s="416"/>
      <c r="AJ164" s="416"/>
      <c r="AK164" s="416"/>
      <c r="AL164" s="416"/>
      <c r="AM164" s="416"/>
      <c r="AN164" s="416"/>
      <c r="AO164" s="416"/>
      <c r="AP164" s="416"/>
      <c r="AQ164" s="416"/>
      <c r="AR164" s="416"/>
      <c r="AS164" s="416"/>
      <c r="AT164" s="416"/>
      <c r="AU164" s="416"/>
      <c r="AV164" s="416"/>
      <c r="AW164" s="416"/>
    </row>
    <row r="165" spans="1:54" x14ac:dyDescent="0.25">
      <c r="A165" s="403" t="s">
        <v>393</v>
      </c>
      <c r="B165" s="416"/>
      <c r="C165" t="s">
        <v>399</v>
      </c>
      <c r="G165" s="416"/>
      <c r="H165" t="s">
        <v>400</v>
      </c>
      <c r="L165" s="416"/>
      <c r="M165" t="s">
        <v>401</v>
      </c>
      <c r="Q165" s="416"/>
      <c r="R165" t="s">
        <v>232</v>
      </c>
      <c r="V165" s="416"/>
      <c r="W165" t="s">
        <v>402</v>
      </c>
      <c r="AB165" s="416"/>
      <c r="AC165" s="403" t="s">
        <v>393</v>
      </c>
      <c r="AD165" s="424"/>
      <c r="AE165" t="s">
        <v>399</v>
      </c>
      <c r="AF165"/>
      <c r="AG165"/>
      <c r="AH165"/>
      <c r="AI165" s="424"/>
      <c r="AJ165" t="s">
        <v>400</v>
      </c>
      <c r="AK165"/>
      <c r="AL165"/>
      <c r="AM165"/>
      <c r="AN165" s="424"/>
      <c r="AO165" t="s">
        <v>401</v>
      </c>
      <c r="AP165"/>
      <c r="AQ165"/>
      <c r="AR165"/>
      <c r="AS165" s="424"/>
      <c r="AT165" t="s">
        <v>232</v>
      </c>
      <c r="AU165"/>
      <c r="AV165"/>
      <c r="AW165"/>
      <c r="AX165" s="424"/>
      <c r="AY165" t="s">
        <v>402</v>
      </c>
    </row>
    <row r="166" spans="1:54" x14ac:dyDescent="0.25">
      <c r="A166" s="425" t="s">
        <v>420</v>
      </c>
      <c r="B166" s="416"/>
      <c r="G166" s="416"/>
      <c r="L166" s="416"/>
      <c r="Q166" s="416"/>
      <c r="V166" s="416"/>
      <c r="AB166" s="416"/>
      <c r="AC166" s="404" t="s">
        <v>441</v>
      </c>
      <c r="AD166" s="424"/>
      <c r="AE166"/>
      <c r="AF166"/>
      <c r="AG166"/>
      <c r="AH166"/>
      <c r="AI166" s="424"/>
      <c r="AJ166"/>
      <c r="AK166"/>
      <c r="AL166"/>
      <c r="AM166"/>
      <c r="AN166" s="424"/>
      <c r="AO166"/>
      <c r="AP166"/>
      <c r="AQ166"/>
      <c r="AR166"/>
      <c r="AS166" s="424"/>
      <c r="AT166"/>
      <c r="AU166"/>
      <c r="AV166"/>
      <c r="AW166"/>
      <c r="AX166" s="424"/>
    </row>
    <row r="167" spans="1:54" x14ac:dyDescent="0.25">
      <c r="A167" s="136"/>
      <c r="B167" s="416"/>
      <c r="C167" s="416" t="s">
        <v>386</v>
      </c>
      <c r="D167" s="416" t="s">
        <v>396</v>
      </c>
      <c r="E167" s="416" t="s">
        <v>288</v>
      </c>
      <c r="F167" s="411" t="s">
        <v>406</v>
      </c>
      <c r="G167" s="412"/>
      <c r="H167" s="416" t="s">
        <v>386</v>
      </c>
      <c r="I167" s="416" t="s">
        <v>396</v>
      </c>
      <c r="J167" s="416" t="s">
        <v>288</v>
      </c>
      <c r="K167" s="411" t="s">
        <v>407</v>
      </c>
      <c r="L167" s="412"/>
      <c r="M167" s="416" t="s">
        <v>386</v>
      </c>
      <c r="N167" s="416" t="s">
        <v>396</v>
      </c>
      <c r="O167" s="416" t="s">
        <v>288</v>
      </c>
      <c r="P167" s="411" t="s">
        <v>407</v>
      </c>
      <c r="Q167" s="306"/>
      <c r="R167" s="416" t="s">
        <v>386</v>
      </c>
      <c r="S167" s="416" t="s">
        <v>396</v>
      </c>
      <c r="T167" s="416" t="s">
        <v>288</v>
      </c>
      <c r="U167" s="411" t="s">
        <v>407</v>
      </c>
      <c r="V167" s="306"/>
      <c r="W167" s="416" t="s">
        <v>386</v>
      </c>
      <c r="X167" s="416" t="s">
        <v>396</v>
      </c>
      <c r="Y167" s="416" t="s">
        <v>288</v>
      </c>
      <c r="Z167" s="411" t="s">
        <v>407</v>
      </c>
      <c r="AB167" s="416"/>
      <c r="AC167" s="136"/>
      <c r="AD167" s="424"/>
      <c r="AE167" s="424" t="s">
        <v>386</v>
      </c>
      <c r="AF167" s="424" t="s">
        <v>396</v>
      </c>
      <c r="AG167" s="424" t="s">
        <v>288</v>
      </c>
      <c r="AH167" s="411" t="s">
        <v>406</v>
      </c>
      <c r="AI167" s="422"/>
      <c r="AJ167" s="424" t="s">
        <v>386</v>
      </c>
      <c r="AK167" s="424" t="s">
        <v>396</v>
      </c>
      <c r="AL167" s="424" t="s">
        <v>288</v>
      </c>
      <c r="AM167" s="411" t="s">
        <v>407</v>
      </c>
      <c r="AN167" s="422"/>
      <c r="AO167" s="424" t="s">
        <v>386</v>
      </c>
      <c r="AP167" s="424" t="s">
        <v>396</v>
      </c>
      <c r="AQ167" s="424" t="s">
        <v>288</v>
      </c>
      <c r="AR167" s="411" t="s">
        <v>407</v>
      </c>
      <c r="AS167" s="306"/>
      <c r="AT167" s="424" t="s">
        <v>386</v>
      </c>
      <c r="AU167" s="424" t="s">
        <v>396</v>
      </c>
      <c r="AV167" s="424" t="s">
        <v>288</v>
      </c>
      <c r="AW167" s="411" t="s">
        <v>407</v>
      </c>
      <c r="AX167" s="306"/>
      <c r="AY167" s="424" t="s">
        <v>386</v>
      </c>
      <c r="AZ167" s="424" t="s">
        <v>396</v>
      </c>
      <c r="BA167" s="424" t="s">
        <v>288</v>
      </c>
      <c r="BB167" s="411" t="s">
        <v>407</v>
      </c>
    </row>
    <row r="168" spans="1:54" x14ac:dyDescent="0.25">
      <c r="A168" s="136" t="s">
        <v>312</v>
      </c>
      <c r="B168" s="416">
        <v>1</v>
      </c>
      <c r="C168" s="415">
        <f>IF(B168="","",B168*'Tabella Carichi Unitari'!$G$8)</f>
        <v>5.2</v>
      </c>
      <c r="D168" s="415">
        <f>IF(B168="","",B168*'Tabella Carichi Unitari'!$H$8)</f>
        <v>3</v>
      </c>
      <c r="E168" s="415">
        <f>IF(B168="","",B168*'Tabella Carichi Unitari'!$C$8)</f>
        <v>4</v>
      </c>
      <c r="F168" s="109">
        <f>IF(B168="","",B168*'Tabella Carichi Unitari'!$K$8)</f>
        <v>0.6</v>
      </c>
      <c r="G168" s="416">
        <v>1</v>
      </c>
      <c r="H168" s="415">
        <f>IF(G168="","",G168*'Tabella Carichi Unitari'!$G$7)</f>
        <v>5.0122799999999996</v>
      </c>
      <c r="I168" s="415">
        <f>IF(G168="","",G168*'Tabella Carichi Unitari'!$H$7)</f>
        <v>4.8</v>
      </c>
      <c r="J168" s="415">
        <f>IF(G168="","",G168*'Tabella Carichi Unitari'!$C$7)</f>
        <v>3.8555999999999995</v>
      </c>
      <c r="K168" s="109">
        <f>IF(G168="","",G168*'Tabella Carichi Unitari'!$K$7)</f>
        <v>1.7999999999999998</v>
      </c>
      <c r="L168" s="416">
        <v>1</v>
      </c>
      <c r="M168" s="415">
        <f>IF(L168="","",L168*'Tabella Carichi Unitari'!$G$7)</f>
        <v>5.0122799999999996</v>
      </c>
      <c r="N168" s="415">
        <f>IF(L168="","",L168*'Tabella Carichi Unitari'!$H$7)</f>
        <v>4.8</v>
      </c>
      <c r="O168" s="415">
        <f>IF(L168="","",L168*'Tabella Carichi Unitari'!$C$7)</f>
        <v>3.8555999999999995</v>
      </c>
      <c r="P168" s="109">
        <f>IF(L168="","",L168*'Tabella Carichi Unitari'!$K$7)</f>
        <v>1.7999999999999998</v>
      </c>
      <c r="Q168" s="416">
        <v>1</v>
      </c>
      <c r="R168" s="415">
        <f>IF(Q168="","",Q168*'Tabella Carichi Unitari'!$G$7)</f>
        <v>5.0122799999999996</v>
      </c>
      <c r="S168" s="415">
        <f>IF(Q168="","",Q168*'Tabella Carichi Unitari'!$H$7)</f>
        <v>4.8</v>
      </c>
      <c r="T168" s="415">
        <f>IF(Q168="","",Q168*'Tabella Carichi Unitari'!$C$7)</f>
        <v>3.8555999999999995</v>
      </c>
      <c r="U168" s="109">
        <f>IF(Q168="","",Q168*'Tabella Carichi Unitari'!$K$7)</f>
        <v>1.7999999999999998</v>
      </c>
      <c r="V168" s="416">
        <v>1</v>
      </c>
      <c r="W168" s="415">
        <f>IF(V168="","",V168*'Tabella Carichi Unitari'!$G$7)</f>
        <v>5.0122799999999996</v>
      </c>
      <c r="X168" s="415">
        <f>IF(V168="","",V168*'Tabella Carichi Unitari'!$H$7)</f>
        <v>4.8</v>
      </c>
      <c r="Y168" s="415">
        <f>IF(V168="","",V168*'Tabella Carichi Unitari'!$C$7)</f>
        <v>3.8555999999999995</v>
      </c>
      <c r="Z168" s="109">
        <f>IF(V168="","",V168*'Tabella Carichi Unitari'!$K$7)</f>
        <v>1.7999999999999998</v>
      </c>
      <c r="AB168" s="416"/>
      <c r="AC168" s="136" t="s">
        <v>312</v>
      </c>
      <c r="AD168" s="423">
        <f>((4.8/2)+(5.2/2))*1</f>
        <v>5</v>
      </c>
      <c r="AE168" s="423">
        <f>IF(AD168="","",AD168*'Tabella Carichi Unitari'!$G$8)</f>
        <v>26</v>
      </c>
      <c r="AF168" s="423">
        <f>IF(AD168="","",AD168*'Tabella Carichi Unitari'!$H$8)</f>
        <v>15</v>
      </c>
      <c r="AG168" s="423">
        <f>IF(AD168="","",AD168*'Tabella Carichi Unitari'!$C$8)</f>
        <v>20</v>
      </c>
      <c r="AH168" s="109">
        <f>IF(AD168="","",AD168*'Tabella Carichi Unitari'!$K$8)</f>
        <v>3</v>
      </c>
      <c r="AI168" s="423">
        <f>AD168</f>
        <v>5</v>
      </c>
      <c r="AJ168" s="423">
        <f>IF(AI168="","",AI168*'Tabella Carichi Unitari'!$G$7)</f>
        <v>25.061399999999999</v>
      </c>
      <c r="AK168" s="423">
        <f>IF(AI168="","",AI168*'Tabella Carichi Unitari'!$H$7)</f>
        <v>24</v>
      </c>
      <c r="AL168" s="423">
        <f>IF(AI168="","",AI168*'Tabella Carichi Unitari'!$C$7)</f>
        <v>19.277999999999999</v>
      </c>
      <c r="AM168" s="109">
        <f>IF(AI168="","",AI168*'Tabella Carichi Unitari'!$K$7)</f>
        <v>9</v>
      </c>
      <c r="AN168" s="423">
        <f>AD168</f>
        <v>5</v>
      </c>
      <c r="AO168" s="423">
        <f>IF(AN168="","",AN168*'Tabella Carichi Unitari'!$G$7)</f>
        <v>25.061399999999999</v>
      </c>
      <c r="AP168" s="423">
        <f>IF(AN168="","",AN168*'Tabella Carichi Unitari'!$H$7)</f>
        <v>24</v>
      </c>
      <c r="AQ168" s="423">
        <f>IF(AN168="","",AN168*'Tabella Carichi Unitari'!$C$7)</f>
        <v>19.277999999999999</v>
      </c>
      <c r="AR168" s="109">
        <f>IF(AN168="","",AN168*'Tabella Carichi Unitari'!$K$7)</f>
        <v>9</v>
      </c>
      <c r="AS168" s="423">
        <f>AD168</f>
        <v>5</v>
      </c>
      <c r="AT168" s="423">
        <f>IF(AS168="","",AS168*'Tabella Carichi Unitari'!$G$7)</f>
        <v>25.061399999999999</v>
      </c>
      <c r="AU168" s="423">
        <f>IF(AS168="","",AS168*'Tabella Carichi Unitari'!$H$7)</f>
        <v>24</v>
      </c>
      <c r="AV168" s="423">
        <f>IF(AS168="","",AS168*'Tabella Carichi Unitari'!$C$7)</f>
        <v>19.277999999999999</v>
      </c>
      <c r="AW168" s="109">
        <f>IF(AS168="","",AS168*'Tabella Carichi Unitari'!$K$7)</f>
        <v>9</v>
      </c>
      <c r="AX168" s="423">
        <f>AD168</f>
        <v>5</v>
      </c>
      <c r="AY168" s="423">
        <f>IF(AX168="","",AX168*'Tabella Carichi Unitari'!$G$7)</f>
        <v>25.061399999999999</v>
      </c>
      <c r="AZ168" s="423">
        <f>IF(AX168="","",AX168*'Tabella Carichi Unitari'!$H$7)</f>
        <v>24</v>
      </c>
      <c r="BA168" s="423">
        <f>IF(AX168="","",AX168*'Tabella Carichi Unitari'!$C$7)</f>
        <v>19.277999999999999</v>
      </c>
      <c r="BB168" s="109">
        <f>IF(AX168="","",AX168*'Tabella Carichi Unitari'!$K$7)</f>
        <v>9</v>
      </c>
    </row>
    <row r="169" spans="1:54" x14ac:dyDescent="0.25">
      <c r="A169" s="136" t="s">
        <v>314</v>
      </c>
      <c r="B169" s="416"/>
      <c r="C169" s="415" t="str">
        <f>IF(B169="","",B169*'Tabella Carichi Unitari'!$G$11)</f>
        <v/>
      </c>
      <c r="D169" s="415" t="str">
        <f>IF(B169="","",B169*'Tabella Carichi Unitari'!$H$11)</f>
        <v/>
      </c>
      <c r="E169" s="415" t="str">
        <f>IF(B169="","",B169*'Tabella Carichi Unitari'!$C$11)</f>
        <v/>
      </c>
      <c r="F169" s="109" t="str">
        <f>IF(B169="","",B169*'Tabella Carichi Unitari'!$K$11)</f>
        <v/>
      </c>
      <c r="G169" s="416"/>
      <c r="H169" s="415" t="str">
        <f>IF(G169="","",G169*'Tabella Carichi Unitari'!$G$10)</f>
        <v/>
      </c>
      <c r="I169" s="415" t="str">
        <f>IF(G169="","",G169*'Tabella Carichi Unitari'!$H$10)</f>
        <v/>
      </c>
      <c r="J169" s="415" t="str">
        <f>IF(G169="","",G169*'Tabella Carichi Unitari'!$C$10)</f>
        <v/>
      </c>
      <c r="K169" s="109" t="str">
        <f>IF(G169="","",G169*'Tabella Carichi Unitari'!$K$10)</f>
        <v/>
      </c>
      <c r="L169" s="416"/>
      <c r="M169" s="415" t="str">
        <f>IF(L169="","",L169*'Tabella Carichi Unitari'!$G$10)</f>
        <v/>
      </c>
      <c r="N169" s="415" t="str">
        <f>IF(L169="","",L169*'Tabella Carichi Unitari'!$H$10)</f>
        <v/>
      </c>
      <c r="O169" s="415" t="str">
        <f>IF(L169="","",L169*'Tabella Carichi Unitari'!$C$10)</f>
        <v/>
      </c>
      <c r="P169" s="109" t="str">
        <f>IF(L169="","",L169*'Tabella Carichi Unitari'!$K$10)</f>
        <v/>
      </c>
      <c r="Q169" s="416"/>
      <c r="R169" s="415" t="str">
        <f>IF(Q169="","",Q169*'Tabella Carichi Unitari'!$G$10)</f>
        <v/>
      </c>
      <c r="S169" s="415" t="str">
        <f>IF(Q169="","",Q169*'Tabella Carichi Unitari'!$H$10)</f>
        <v/>
      </c>
      <c r="T169" s="415" t="str">
        <f>IF(Q169="","",Q169*'Tabella Carichi Unitari'!$C$10)</f>
        <v/>
      </c>
      <c r="U169" s="109" t="str">
        <f>IF(Q169="","",Q169*'Tabella Carichi Unitari'!$K$10)</f>
        <v/>
      </c>
      <c r="V169" s="416"/>
      <c r="W169" s="415" t="str">
        <f>IF(V169="","",V169*'Tabella Carichi Unitari'!$G$10)</f>
        <v/>
      </c>
      <c r="X169" s="415" t="str">
        <f>IF(V169="","",V169*'Tabella Carichi Unitari'!$H$10)</f>
        <v/>
      </c>
      <c r="Y169" s="415" t="str">
        <f>IF(V169="","",V169*'Tabella Carichi Unitari'!$C$10)</f>
        <v/>
      </c>
      <c r="Z169" s="109" t="str">
        <f>IF(V169="","",V169*'Tabella Carichi Unitari'!$K$10)</f>
        <v/>
      </c>
      <c r="AB169" s="416"/>
      <c r="AC169" s="136" t="s">
        <v>314</v>
      </c>
      <c r="AD169" s="424"/>
      <c r="AE169" s="423" t="str">
        <f>IF(AD169="","",AD169*'Tabella Carichi Unitari'!$G$11)</f>
        <v/>
      </c>
      <c r="AF169" s="423" t="str">
        <f>IF(AD169="","",AD169*'Tabella Carichi Unitari'!$H$11)</f>
        <v/>
      </c>
      <c r="AG169" s="423" t="str">
        <f>IF(AD169="","",AD169*'Tabella Carichi Unitari'!$C$11)</f>
        <v/>
      </c>
      <c r="AH169" s="109" t="str">
        <f>IF(AD169="","",AD169*'Tabella Carichi Unitari'!$K$11)</f>
        <v/>
      </c>
      <c r="AI169" s="424"/>
      <c r="AJ169" s="423" t="str">
        <f>IF(AI169="","",AI169*'Tabella Carichi Unitari'!$G$10)</f>
        <v/>
      </c>
      <c r="AK169" s="423" t="str">
        <f>IF(AI169="","",AI169*'Tabella Carichi Unitari'!$H$10)</f>
        <v/>
      </c>
      <c r="AL169" s="423" t="str">
        <f>IF(AI169="","",AI169*'Tabella Carichi Unitari'!$C$10)</f>
        <v/>
      </c>
      <c r="AM169" s="109" t="str">
        <f>IF(AI169="","",AI169*'Tabella Carichi Unitari'!$K$10)</f>
        <v/>
      </c>
      <c r="AN169" s="424"/>
      <c r="AO169" s="423" t="str">
        <f>IF(AN169="","",AN169*'Tabella Carichi Unitari'!$G$10)</f>
        <v/>
      </c>
      <c r="AP169" s="423" t="str">
        <f>IF(AN169="","",AN169*'Tabella Carichi Unitari'!$H$10)</f>
        <v/>
      </c>
      <c r="AQ169" s="423" t="str">
        <f>IF(AN169="","",AN169*'Tabella Carichi Unitari'!$C$10)</f>
        <v/>
      </c>
      <c r="AR169" s="109" t="str">
        <f>IF(AN169="","",AN169*'Tabella Carichi Unitari'!$K$10)</f>
        <v/>
      </c>
      <c r="AS169" s="424"/>
      <c r="AT169" s="423" t="str">
        <f>IF(AS169="","",AS169*'Tabella Carichi Unitari'!$G$10)</f>
        <v/>
      </c>
      <c r="AU169" s="423" t="str">
        <f>IF(AS169="","",AS169*'Tabella Carichi Unitari'!$H$10)</f>
        <v/>
      </c>
      <c r="AV169" s="423" t="str">
        <f>IF(AS169="","",AS169*'Tabella Carichi Unitari'!$C$10)</f>
        <v/>
      </c>
      <c r="AW169" s="109" t="str">
        <f>IF(AS169="","",AS169*'Tabella Carichi Unitari'!$K$10)</f>
        <v/>
      </c>
      <c r="AX169" s="424"/>
      <c r="AY169" s="423" t="str">
        <f>IF(AX169="","",AX169*'Tabella Carichi Unitari'!$G$10)</f>
        <v/>
      </c>
      <c r="AZ169" s="423" t="str">
        <f>IF(AX169="","",AX169*'Tabella Carichi Unitari'!$H$10)</f>
        <v/>
      </c>
      <c r="BA169" s="423" t="str">
        <f>IF(AX169="","",AX169*'Tabella Carichi Unitari'!$C$10)</f>
        <v/>
      </c>
      <c r="BB169" s="109" t="str">
        <f>IF(AX169="","",AX169*'Tabella Carichi Unitari'!$K$10)</f>
        <v/>
      </c>
    </row>
    <row r="170" spans="1:54" x14ac:dyDescent="0.25">
      <c r="A170" s="136" t="s">
        <v>315</v>
      </c>
      <c r="B170" s="416"/>
      <c r="C170" s="415" t="str">
        <f>IF(B170="","",B170*'Tabella Carichi Unitari'!$G$12)</f>
        <v/>
      </c>
      <c r="D170" s="415" t="str">
        <f>IF(B170="","",B170*'Tabella Carichi Unitari'!$H$12)</f>
        <v/>
      </c>
      <c r="E170" s="415" t="str">
        <f>IF(B170="","",B170*'Tabella Carichi Unitari'!$C$12)</f>
        <v/>
      </c>
      <c r="F170" s="109" t="str">
        <f>IF(B170="","",B170*'Tabella Carichi Unitari'!$K$12)</f>
        <v/>
      </c>
      <c r="G170" s="416"/>
      <c r="H170" s="415" t="str">
        <f>IF(G170="","",G170*'Tabella Carichi Unitari'!$G$12)</f>
        <v/>
      </c>
      <c r="I170" s="415" t="str">
        <f>IF(G170="","",G170*'Tabella Carichi Unitari'!$H$12)</f>
        <v/>
      </c>
      <c r="J170" s="415" t="str">
        <f>IF(G170="","",G170*'Tabella Carichi Unitari'!$C$12)</f>
        <v/>
      </c>
      <c r="K170" s="109" t="str">
        <f>IF(G170="","",G170*'Tabella Carichi Unitari'!$K$12)</f>
        <v/>
      </c>
      <c r="L170" s="416"/>
      <c r="M170" s="415" t="str">
        <f>IF(L170="","",L170*'Tabella Carichi Unitari'!$G$12)</f>
        <v/>
      </c>
      <c r="N170" s="415" t="str">
        <f>IF(L170="","",L170*'Tabella Carichi Unitari'!$H$12)</f>
        <v/>
      </c>
      <c r="O170" s="415" t="str">
        <f>IF(L170="","",L170*'Tabella Carichi Unitari'!$C$12)</f>
        <v/>
      </c>
      <c r="P170" s="109" t="str">
        <f>IF(L170="","",L170*'Tabella Carichi Unitari'!$K$12)</f>
        <v/>
      </c>
      <c r="Q170" s="416"/>
      <c r="R170" s="415" t="str">
        <f>IF(Q170="","",Q170*'Tabella Carichi Unitari'!$G$12)</f>
        <v/>
      </c>
      <c r="S170" s="415" t="str">
        <f>IF(Q170="","",Q170*'Tabella Carichi Unitari'!$H$12)</f>
        <v/>
      </c>
      <c r="T170" s="415" t="str">
        <f>IF(Q170="","",Q170*'Tabella Carichi Unitari'!$C$12)</f>
        <v/>
      </c>
      <c r="U170" s="109" t="str">
        <f>IF(Q170="","",Q170*'Tabella Carichi Unitari'!$K$12)</f>
        <v/>
      </c>
      <c r="V170" s="416"/>
      <c r="W170" s="415" t="str">
        <f>IF(V170="","",V170*'Tabella Carichi Unitari'!$G$12)</f>
        <v/>
      </c>
      <c r="X170" s="415" t="str">
        <f>IF(V170="","",V170*'Tabella Carichi Unitari'!$H$12)</f>
        <v/>
      </c>
      <c r="Y170" s="415" t="str">
        <f>IF(V170="","",V170*'Tabella Carichi Unitari'!$C$12)</f>
        <v/>
      </c>
      <c r="Z170" s="109" t="str">
        <f>IF(V170="","",V170*'Tabella Carichi Unitari'!$K$12)</f>
        <v/>
      </c>
      <c r="AB170" s="416"/>
      <c r="AC170" s="136" t="s">
        <v>315</v>
      </c>
      <c r="AD170" s="424"/>
      <c r="AE170" s="423" t="str">
        <f>IF(AD170="","",AD170*'Tabella Carichi Unitari'!$G$12)</f>
        <v/>
      </c>
      <c r="AF170" s="423" t="str">
        <f>IF(AD170="","",AD170*'Tabella Carichi Unitari'!$H$12)</f>
        <v/>
      </c>
      <c r="AG170" s="423" t="str">
        <f>IF(AD170="","",AD170*'Tabella Carichi Unitari'!$C$12)</f>
        <v/>
      </c>
      <c r="AH170" s="109" t="str">
        <f>IF(AD170="","",AD170*'Tabella Carichi Unitari'!$K$12)</f>
        <v/>
      </c>
      <c r="AI170" s="424"/>
      <c r="AJ170" s="423" t="str">
        <f>IF(AI170="","",AI170*'Tabella Carichi Unitari'!$G$12)</f>
        <v/>
      </c>
      <c r="AK170" s="423" t="str">
        <f>IF(AI170="","",AI170*'Tabella Carichi Unitari'!$H$12)</f>
        <v/>
      </c>
      <c r="AL170" s="423" t="str">
        <f>IF(AI170="","",AI170*'Tabella Carichi Unitari'!$C$12)</f>
        <v/>
      </c>
      <c r="AM170" s="109" t="str">
        <f>IF(AI170="","",AI170*'Tabella Carichi Unitari'!$K$12)</f>
        <v/>
      </c>
      <c r="AN170" s="424"/>
      <c r="AO170" s="423" t="str">
        <f>IF(AN170="","",AN170*'Tabella Carichi Unitari'!$G$12)</f>
        <v/>
      </c>
      <c r="AP170" s="423" t="str">
        <f>IF(AN170="","",AN170*'Tabella Carichi Unitari'!$H$12)</f>
        <v/>
      </c>
      <c r="AQ170" s="423" t="str">
        <f>IF(AN170="","",AN170*'Tabella Carichi Unitari'!$C$12)</f>
        <v/>
      </c>
      <c r="AR170" s="109" t="str">
        <f>IF(AN170="","",AN170*'Tabella Carichi Unitari'!$K$12)</f>
        <v/>
      </c>
      <c r="AS170" s="424"/>
      <c r="AT170" s="423" t="str">
        <f>IF(AS170="","",AS170*'Tabella Carichi Unitari'!$G$12)</f>
        <v/>
      </c>
      <c r="AU170" s="423" t="str">
        <f>IF(AS170="","",AS170*'Tabella Carichi Unitari'!$H$12)</f>
        <v/>
      </c>
      <c r="AV170" s="423" t="str">
        <f>IF(AS170="","",AS170*'Tabella Carichi Unitari'!$C$12)</f>
        <v/>
      </c>
      <c r="AW170" s="109" t="str">
        <f>IF(AS170="","",AS170*'Tabella Carichi Unitari'!$K$12)</f>
        <v/>
      </c>
      <c r="AX170" s="424"/>
      <c r="AY170" s="423" t="str">
        <f>IF(AX170="","",AX170*'Tabella Carichi Unitari'!$G$12)</f>
        <v/>
      </c>
      <c r="AZ170" s="423" t="str">
        <f>IF(AX170="","",AX170*'Tabella Carichi Unitari'!$H$12)</f>
        <v/>
      </c>
      <c r="BA170" s="423" t="str">
        <f>IF(AX170="","",AX170*'Tabella Carichi Unitari'!$C$12)</f>
        <v/>
      </c>
      <c r="BB170" s="109" t="str">
        <f>IF(AX170="","",AX170*'Tabella Carichi Unitari'!$K$12)</f>
        <v/>
      </c>
    </row>
    <row r="171" spans="1:54" x14ac:dyDescent="0.25">
      <c r="A171" s="136" t="s">
        <v>391</v>
      </c>
      <c r="B171" s="416"/>
      <c r="C171" s="415" t="str">
        <f>IF(B171="","",B171*'Tabella Carichi Unitari'!$G$15)</f>
        <v/>
      </c>
      <c r="D171" s="415" t="str">
        <f>IF(B171="","",B171*'Tabella Carichi Unitari'!$H$15)</f>
        <v/>
      </c>
      <c r="E171" s="415" t="str">
        <f>IF(B171="","",B171*'Tabella Carichi Unitari'!$C$15)</f>
        <v/>
      </c>
      <c r="F171" s="109" t="str">
        <f>IF(B171="","",B171*'Tabella Carichi Unitari'!$K$15)</f>
        <v/>
      </c>
      <c r="G171" s="416"/>
      <c r="H171" s="415" t="str">
        <f>IF(G171="","",G171*'Tabella Carichi Unitari'!$G$14)</f>
        <v/>
      </c>
      <c r="I171" s="415" t="str">
        <f>IF(G171="","",G171*'Tabella Carichi Unitari'!$H$14)</f>
        <v/>
      </c>
      <c r="J171" s="415" t="str">
        <f>IF(G171="","",G171*'Tabella Carichi Unitari'!$C$14)</f>
        <v/>
      </c>
      <c r="K171" s="109" t="str">
        <f>IF(G171="","",G171*'Tabella Carichi Unitari'!$K$14)</f>
        <v/>
      </c>
      <c r="L171" s="416"/>
      <c r="M171" s="415" t="str">
        <f>IF(L171="","",L171*'Tabella Carichi Unitari'!$G$13)</f>
        <v/>
      </c>
      <c r="N171" s="415" t="str">
        <f>IF(L171="","",L171*'Tabella Carichi Unitari'!$H$13)</f>
        <v/>
      </c>
      <c r="O171" s="415" t="str">
        <f>IF(L171="","",L171*'Tabella Carichi Unitari'!$C$13)</f>
        <v/>
      </c>
      <c r="P171" s="109" t="str">
        <f>IF(L171="","",L171*'Tabella Carichi Unitari'!$K$13)</f>
        <v/>
      </c>
      <c r="Q171" s="416"/>
      <c r="R171" s="415" t="str">
        <f>IF(Q171="","",Q171*'Tabella Carichi Unitari'!$G$13)</f>
        <v/>
      </c>
      <c r="S171" s="415" t="str">
        <f>IF(Q171="","",Q171*'Tabella Carichi Unitari'!$H$13)</f>
        <v/>
      </c>
      <c r="T171" s="415" t="str">
        <f>IF(Q171="","",Q171*'Tabella Carichi Unitari'!$C$13)</f>
        <v/>
      </c>
      <c r="U171" s="109" t="str">
        <f>IF(Q171="","",Q171*'Tabella Carichi Unitari'!$K$13)</f>
        <v/>
      </c>
      <c r="V171" s="416"/>
      <c r="W171" s="415" t="str">
        <f>IF(V171="","",V171*'Tabella Carichi Unitari'!$G$13)</f>
        <v/>
      </c>
      <c r="X171" s="415" t="str">
        <f>IF(V171="","",V171*'Tabella Carichi Unitari'!$H$13)</f>
        <v/>
      </c>
      <c r="Y171" s="415" t="str">
        <f>IF(V171="","",V171*'Tabella Carichi Unitari'!$C$13)</f>
        <v/>
      </c>
      <c r="Z171" s="109" t="str">
        <f>IF(V171="","",V171*'Tabella Carichi Unitari'!$K$13)</f>
        <v/>
      </c>
      <c r="AB171" s="416"/>
      <c r="AC171" s="136" t="s">
        <v>391</v>
      </c>
      <c r="AD171" s="424"/>
      <c r="AE171" s="423" t="str">
        <f>IF(AD171="","",AD171*'Tabella Carichi Unitari'!$G$15)</f>
        <v/>
      </c>
      <c r="AF171" s="423" t="str">
        <f>IF(AD171="","",AD171*'Tabella Carichi Unitari'!$H$15)</f>
        <v/>
      </c>
      <c r="AG171" s="423" t="str">
        <f>IF(AD171="","",AD171*'Tabella Carichi Unitari'!$C$15)</f>
        <v/>
      </c>
      <c r="AH171" s="109" t="str">
        <f>IF(AD171="","",AD171*'Tabella Carichi Unitari'!$K$15)</f>
        <v/>
      </c>
      <c r="AI171" s="424"/>
      <c r="AJ171" s="423" t="str">
        <f>IF(AI171="","",AI171*'Tabella Carichi Unitari'!$G$14)</f>
        <v/>
      </c>
      <c r="AK171" s="423" t="str">
        <f>IF(AI171="","",AI171*'Tabella Carichi Unitari'!$H$14)</f>
        <v/>
      </c>
      <c r="AL171" s="423" t="str">
        <f>IF(AI171="","",AI171*'Tabella Carichi Unitari'!$C$14)</f>
        <v/>
      </c>
      <c r="AM171" s="109" t="str">
        <f>IF(AI171="","",AI171*'Tabella Carichi Unitari'!$K$14)</f>
        <v/>
      </c>
      <c r="AN171" s="424"/>
      <c r="AO171" s="423" t="str">
        <f>IF(AN171="","",AN171*'Tabella Carichi Unitari'!$G$13)</f>
        <v/>
      </c>
      <c r="AP171" s="423" t="str">
        <f>IF(AN171="","",AN171*'Tabella Carichi Unitari'!$H$13)</f>
        <v/>
      </c>
      <c r="AQ171" s="423" t="str">
        <f>IF(AN171="","",AN171*'Tabella Carichi Unitari'!$C$13)</f>
        <v/>
      </c>
      <c r="AR171" s="109" t="str">
        <f>IF(AN171="","",AN171*'Tabella Carichi Unitari'!$K$13)</f>
        <v/>
      </c>
      <c r="AS171" s="424"/>
      <c r="AT171" s="423" t="str">
        <f>IF(AS171="","",AS171*'Tabella Carichi Unitari'!$G$13)</f>
        <v/>
      </c>
      <c r="AU171" s="423" t="str">
        <f>IF(AS171="","",AS171*'Tabella Carichi Unitari'!$H$13)</f>
        <v/>
      </c>
      <c r="AV171" s="423" t="str">
        <f>IF(AS171="","",AS171*'Tabella Carichi Unitari'!$C$13)</f>
        <v/>
      </c>
      <c r="AW171" s="109" t="str">
        <f>IF(AS171="","",AS171*'Tabella Carichi Unitari'!$K$13)</f>
        <v/>
      </c>
      <c r="AX171" s="424"/>
      <c r="AY171" s="423" t="str">
        <f>IF(AX171="","",AX171*'Tabella Carichi Unitari'!$G$13)</f>
        <v/>
      </c>
      <c r="AZ171" s="423" t="str">
        <f>IF(AX171="","",AX171*'Tabella Carichi Unitari'!$H$13)</f>
        <v/>
      </c>
      <c r="BA171" s="423" t="str">
        <f>IF(AX171="","",AX171*'Tabella Carichi Unitari'!$C$13)</f>
        <v/>
      </c>
      <c r="BB171" s="109" t="str">
        <f>IF(AX171="","",AX171*'Tabella Carichi Unitari'!$K$13)</f>
        <v/>
      </c>
    </row>
    <row r="172" spans="1:54" x14ac:dyDescent="0.25">
      <c r="A172" s="136" t="s">
        <v>392</v>
      </c>
      <c r="B172" s="416">
        <v>1</v>
      </c>
      <c r="C172" s="415">
        <f>IF(B172="","",B172*'Tabella Carichi Unitari'!$G$16)</f>
        <v>6.1932000000000009</v>
      </c>
      <c r="D172" s="415">
        <f>IF(B172="","",B172*'Tabella Carichi Unitari'!$H$16)</f>
        <v>0</v>
      </c>
      <c r="E172" s="415">
        <f>IF(B172="","",B172*'Tabella Carichi Unitari'!$C$16)</f>
        <v>4.7640000000000002</v>
      </c>
      <c r="F172" s="109">
        <f>IF(B172="","",B172*'Tabella Carichi Unitari'!$K$16)</f>
        <v>0</v>
      </c>
      <c r="G172" s="416">
        <v>1</v>
      </c>
      <c r="H172" s="415">
        <f>IF(G172="","",G172*'Tabella Carichi Unitari'!$G$16)</f>
        <v>6.1932000000000009</v>
      </c>
      <c r="I172" s="415">
        <f>IF(G172="","",G172*'Tabella Carichi Unitari'!$H$16)</f>
        <v>0</v>
      </c>
      <c r="J172" s="415">
        <f>IF(G172="","",G172*'Tabella Carichi Unitari'!$C$16)</f>
        <v>4.7640000000000002</v>
      </c>
      <c r="K172" s="109">
        <f>IF(G172="","",G172*'Tabella Carichi Unitari'!$K$16)</f>
        <v>0</v>
      </c>
      <c r="L172" s="416">
        <v>1</v>
      </c>
      <c r="M172" s="415">
        <f>IF(L172="","",L172*'Tabella Carichi Unitari'!$G$16)</f>
        <v>6.1932000000000009</v>
      </c>
      <c r="N172" s="415">
        <f>IF(L172="","",L172*'Tabella Carichi Unitari'!$H$16)</f>
        <v>0</v>
      </c>
      <c r="O172" s="415">
        <f>IF(L172="","",L172*'Tabella Carichi Unitari'!$C$16)</f>
        <v>4.7640000000000002</v>
      </c>
      <c r="P172" s="109">
        <f>IF(L172="","",L172*'Tabella Carichi Unitari'!$K$16)</f>
        <v>0</v>
      </c>
      <c r="Q172" s="416">
        <v>1</v>
      </c>
      <c r="R172" s="415">
        <f>IF(Q172="","",Q172*'Tabella Carichi Unitari'!$G$16)</f>
        <v>6.1932000000000009</v>
      </c>
      <c r="S172" s="415">
        <f>IF(Q172="","",Q172*'Tabella Carichi Unitari'!$H$16)</f>
        <v>0</v>
      </c>
      <c r="T172" s="415">
        <f>IF(Q172="","",Q172*'Tabella Carichi Unitari'!$C$16)</f>
        <v>4.7640000000000002</v>
      </c>
      <c r="U172" s="109">
        <f>IF(Q172="","",Q172*'Tabella Carichi Unitari'!$K$16)</f>
        <v>0</v>
      </c>
      <c r="V172" s="416">
        <v>1</v>
      </c>
      <c r="W172" s="415">
        <f>IF(V172="","",V172*'Tabella Carichi Unitari'!$G$16)</f>
        <v>6.1932000000000009</v>
      </c>
      <c r="X172" s="415">
        <f>IF(V172="","",V172*'Tabella Carichi Unitari'!$H$16)</f>
        <v>0</v>
      </c>
      <c r="Y172" s="415">
        <f>IF(V172="","",V172*'Tabella Carichi Unitari'!$C$16)</f>
        <v>4.7640000000000002</v>
      </c>
      <c r="Z172" s="109">
        <f>IF(V172="","",V172*'Tabella Carichi Unitari'!$K$16)</f>
        <v>0</v>
      </c>
      <c r="AB172" s="416"/>
      <c r="AC172" s="136" t="s">
        <v>392</v>
      </c>
      <c r="AD172" s="424">
        <v>1</v>
      </c>
      <c r="AE172" s="423">
        <f>IF(AD172="","",AD172*'Tabella Carichi Unitari'!$G$16)</f>
        <v>6.1932000000000009</v>
      </c>
      <c r="AF172" s="423">
        <f>IF(AD172="","",AD172*'Tabella Carichi Unitari'!$H$16)</f>
        <v>0</v>
      </c>
      <c r="AG172" s="423">
        <f>IF(AD172="","",AD172*'Tabella Carichi Unitari'!$C$16)</f>
        <v>4.7640000000000002</v>
      </c>
      <c r="AH172" s="109">
        <f>IF(AD172="","",AD172*'Tabella Carichi Unitari'!$K$16)</f>
        <v>0</v>
      </c>
      <c r="AI172" s="424">
        <v>1</v>
      </c>
      <c r="AJ172" s="423">
        <f>IF(AI172="","",AI172*'Tabella Carichi Unitari'!$G$16)</f>
        <v>6.1932000000000009</v>
      </c>
      <c r="AK172" s="423">
        <f>IF(AI172="","",AI172*'Tabella Carichi Unitari'!$H$16)</f>
        <v>0</v>
      </c>
      <c r="AL172" s="423">
        <f>IF(AI172="","",AI172*'Tabella Carichi Unitari'!$C$16)</f>
        <v>4.7640000000000002</v>
      </c>
      <c r="AM172" s="109">
        <f>IF(AI172="","",AI172*'Tabella Carichi Unitari'!$K$16)</f>
        <v>0</v>
      </c>
      <c r="AN172" s="424">
        <v>1</v>
      </c>
      <c r="AO172" s="423">
        <f>IF(AN172="","",AN172*'Tabella Carichi Unitari'!$G$16)</f>
        <v>6.1932000000000009</v>
      </c>
      <c r="AP172" s="423">
        <f>IF(AN172="","",AN172*'Tabella Carichi Unitari'!$H$16)</f>
        <v>0</v>
      </c>
      <c r="AQ172" s="423">
        <f>IF(AN172="","",AN172*'Tabella Carichi Unitari'!$C$16)</f>
        <v>4.7640000000000002</v>
      </c>
      <c r="AR172" s="109">
        <f>IF(AN172="","",AN172*'Tabella Carichi Unitari'!$K$16)</f>
        <v>0</v>
      </c>
      <c r="AS172" s="424">
        <v>1</v>
      </c>
      <c r="AT172" s="423">
        <f>IF(AS172="","",AS172*'Tabella Carichi Unitari'!$G$16)</f>
        <v>6.1932000000000009</v>
      </c>
      <c r="AU172" s="423">
        <f>IF(AS172="","",AS172*'Tabella Carichi Unitari'!$H$16)</f>
        <v>0</v>
      </c>
      <c r="AV172" s="423">
        <f>IF(AS172="","",AS172*'Tabella Carichi Unitari'!$C$16)</f>
        <v>4.7640000000000002</v>
      </c>
      <c r="AW172" s="109">
        <f>IF(AS172="","",AS172*'Tabella Carichi Unitari'!$K$16)</f>
        <v>0</v>
      </c>
      <c r="AX172" s="424">
        <v>1</v>
      </c>
      <c r="AY172" s="423">
        <f>IF(AX172="","",AX172*'Tabella Carichi Unitari'!$G$16)</f>
        <v>6.1932000000000009</v>
      </c>
      <c r="AZ172" s="423">
        <f>IF(AX172="","",AX172*'Tabella Carichi Unitari'!$H$16)</f>
        <v>0</v>
      </c>
      <c r="BA172" s="423">
        <f>IF(AX172="","",AX172*'Tabella Carichi Unitari'!$C$16)</f>
        <v>4.7640000000000002</v>
      </c>
      <c r="BB172" s="109">
        <f>IF(AX172="","",AX172*'Tabella Carichi Unitari'!$K$16)</f>
        <v>0</v>
      </c>
    </row>
    <row r="173" spans="1:54" x14ac:dyDescent="0.25">
      <c r="A173" s="136" t="s">
        <v>313</v>
      </c>
      <c r="B173" s="416"/>
      <c r="C173" s="168" t="str">
        <f>IF(B173="","",B173*'Tabella Carichi Unitari'!$G$17)</f>
        <v/>
      </c>
      <c r="D173" s="168" t="str">
        <f>IF(B173="","",B173*'Tabella Carichi Unitari'!$H$17)</f>
        <v/>
      </c>
      <c r="E173" s="168" t="str">
        <f>IF(B173="","",B173*'Tabella Carichi Unitari'!$C$17)</f>
        <v/>
      </c>
      <c r="F173" s="110" t="str">
        <f>IF(B173="","",B173*'Tabella Carichi Unitari'!$K$17)</f>
        <v/>
      </c>
      <c r="G173" s="416"/>
      <c r="H173" s="168" t="str">
        <f>IF(G173="","",G173*'Tabella Carichi Unitari'!$G$17)</f>
        <v/>
      </c>
      <c r="I173" s="168" t="str">
        <f>IF(G173="","",G173*'Tabella Carichi Unitari'!$H$17)</f>
        <v/>
      </c>
      <c r="J173" s="168" t="str">
        <f>IF(G173="","",G173*'Tabella Carichi Unitari'!$C$17)</f>
        <v/>
      </c>
      <c r="K173" s="110" t="str">
        <f>IF(G173="","",G173*'Tabella Carichi Unitari'!$K$17)</f>
        <v/>
      </c>
      <c r="L173" s="416"/>
      <c r="M173" s="168" t="str">
        <f>IF(L173="","",L173*'Tabella Carichi Unitari'!$G$17)</f>
        <v/>
      </c>
      <c r="N173" s="168" t="str">
        <f>IF(L173="","",L173*'Tabella Carichi Unitari'!$H$17)</f>
        <v/>
      </c>
      <c r="O173" s="168" t="str">
        <f>IF(L173="","",L173*'Tabella Carichi Unitari'!$C$17)</f>
        <v/>
      </c>
      <c r="P173" s="110" t="str">
        <f>IF(L173="","",L173*'Tabella Carichi Unitari'!$K$17)</f>
        <v/>
      </c>
      <c r="Q173" s="416"/>
      <c r="R173" s="168" t="str">
        <f>IF(Q173="","",Q173*'Tabella Carichi Unitari'!$G$17)</f>
        <v/>
      </c>
      <c r="S173" s="168" t="str">
        <f>IF(Q173="","",Q173*'Tabella Carichi Unitari'!$H$17)</f>
        <v/>
      </c>
      <c r="T173" s="168" t="str">
        <f>IF(Q173="","",Q173*'Tabella Carichi Unitari'!$C$17)</f>
        <v/>
      </c>
      <c r="U173" s="110" t="str">
        <f>IF(Q173="","",Q173*'Tabella Carichi Unitari'!$K$17)</f>
        <v/>
      </c>
      <c r="V173" s="416"/>
      <c r="W173" s="168" t="str">
        <f>IF(V173="","",V173*'Tabella Carichi Unitari'!$G$17)</f>
        <v/>
      </c>
      <c r="X173" s="168" t="str">
        <f>IF(V173="","",V173*'Tabella Carichi Unitari'!$H$17)</f>
        <v/>
      </c>
      <c r="Y173" s="168" t="str">
        <f>IF(V173="","",V173*'Tabella Carichi Unitari'!$C$17)</f>
        <v/>
      </c>
      <c r="Z173" s="110" t="str">
        <f>IF(V173="","",V173*'Tabella Carichi Unitari'!$K$17)</f>
        <v/>
      </c>
      <c r="AB173" s="416"/>
      <c r="AC173" s="136" t="s">
        <v>313</v>
      </c>
      <c r="AD173" s="424"/>
      <c r="AE173" s="168" t="str">
        <f>IF(AD173="","",AD173*'Tabella Carichi Unitari'!$G$17)</f>
        <v/>
      </c>
      <c r="AF173" s="168" t="str">
        <f>IF(AD173="","",AD173*'Tabella Carichi Unitari'!$H$17)</f>
        <v/>
      </c>
      <c r="AG173" s="168" t="str">
        <f>IF(AD173="","",AD173*'Tabella Carichi Unitari'!$C$17)</f>
        <v/>
      </c>
      <c r="AH173" s="110" t="str">
        <f>IF(AD173="","",AD173*'Tabella Carichi Unitari'!$K$17)</f>
        <v/>
      </c>
      <c r="AI173" s="424"/>
      <c r="AJ173" s="168" t="str">
        <f>IF(AI173="","",AI173*'Tabella Carichi Unitari'!$G$17)</f>
        <v/>
      </c>
      <c r="AK173" s="168" t="str">
        <f>IF(AI173="","",AI173*'Tabella Carichi Unitari'!$H$17)</f>
        <v/>
      </c>
      <c r="AL173" s="168" t="str">
        <f>IF(AI173="","",AI173*'Tabella Carichi Unitari'!$C$17)</f>
        <v/>
      </c>
      <c r="AM173" s="110" t="str">
        <f>IF(AI173="","",AI173*'Tabella Carichi Unitari'!$K$17)</f>
        <v/>
      </c>
      <c r="AN173" s="424"/>
      <c r="AO173" s="168" t="str">
        <f>IF(AN173="","",AN173*'Tabella Carichi Unitari'!$G$17)</f>
        <v/>
      </c>
      <c r="AP173" s="168" t="str">
        <f>IF(AN173="","",AN173*'Tabella Carichi Unitari'!$H$17)</f>
        <v/>
      </c>
      <c r="AQ173" s="168" t="str">
        <f>IF(AN173="","",AN173*'Tabella Carichi Unitari'!$C$17)</f>
        <v/>
      </c>
      <c r="AR173" s="110" t="str">
        <f>IF(AN173="","",AN173*'Tabella Carichi Unitari'!$K$17)</f>
        <v/>
      </c>
      <c r="AS173" s="424"/>
      <c r="AT173" s="168" t="str">
        <f>IF(AS173="","",AS173*'Tabella Carichi Unitari'!$G$17)</f>
        <v/>
      </c>
      <c r="AU173" s="168" t="str">
        <f>IF(AS173="","",AS173*'Tabella Carichi Unitari'!$H$17)</f>
        <v/>
      </c>
      <c r="AV173" s="168" t="str">
        <f>IF(AS173="","",AS173*'Tabella Carichi Unitari'!$C$17)</f>
        <v/>
      </c>
      <c r="AW173" s="110" t="str">
        <f>IF(AS173="","",AS173*'Tabella Carichi Unitari'!$K$17)</f>
        <v/>
      </c>
      <c r="AX173" s="424"/>
      <c r="AY173" s="168" t="str">
        <f>IF(AX173="","",AX173*'Tabella Carichi Unitari'!$G$17)</f>
        <v/>
      </c>
      <c r="AZ173" s="168" t="str">
        <f>IF(AX173="","",AX173*'Tabella Carichi Unitari'!$H$17)</f>
        <v/>
      </c>
      <c r="BA173" s="168" t="str">
        <f>IF(AX173="","",AX173*'Tabella Carichi Unitari'!$C$17)</f>
        <v/>
      </c>
      <c r="BB173" s="110" t="str">
        <f>IF(AX173="","",AX173*'Tabella Carichi Unitari'!$K$17)</f>
        <v/>
      </c>
    </row>
    <row r="174" spans="1:54" x14ac:dyDescent="0.25">
      <c r="A174" s="136"/>
      <c r="B174" s="416"/>
      <c r="C174" s="415">
        <f>SUM(C168:C173)</f>
        <v>11.3932</v>
      </c>
      <c r="D174" s="415">
        <f t="shared" ref="D174" si="139">SUM(D168:D173)</f>
        <v>3</v>
      </c>
      <c r="E174" s="415">
        <f t="shared" ref="E174" si="140">SUM(E168:E173)</f>
        <v>8.7639999999999993</v>
      </c>
      <c r="F174" s="415">
        <f t="shared" ref="F174" si="141">SUM(F168:F173)</f>
        <v>0.6</v>
      </c>
      <c r="G174" s="415"/>
      <c r="H174" s="415">
        <f t="shared" ref="H174" si="142">SUM(H168:H173)</f>
        <v>11.205480000000001</v>
      </c>
      <c r="I174" s="415">
        <f t="shared" ref="I174" si="143">SUM(I168:I173)</f>
        <v>4.8</v>
      </c>
      <c r="J174" s="415">
        <f t="shared" ref="J174" si="144">SUM(J168:J173)</f>
        <v>8.6196000000000002</v>
      </c>
      <c r="K174" s="415">
        <f t="shared" ref="K174" si="145">SUM(K168:K173)</f>
        <v>1.7999999999999998</v>
      </c>
      <c r="L174" s="415"/>
      <c r="M174" s="415">
        <f t="shared" ref="M174" si="146">SUM(M168:M173)</f>
        <v>11.205480000000001</v>
      </c>
      <c r="N174" s="415">
        <f t="shared" ref="N174" si="147">SUM(N168:N173)</f>
        <v>4.8</v>
      </c>
      <c r="O174" s="415">
        <f t="shared" ref="O174" si="148">SUM(O168:O173)</f>
        <v>8.6196000000000002</v>
      </c>
      <c r="P174" s="415">
        <f t="shared" ref="P174" si="149">SUM(P168:P173)</f>
        <v>1.7999999999999998</v>
      </c>
      <c r="Q174" s="415"/>
      <c r="R174" s="415">
        <f t="shared" ref="R174" si="150">SUM(R168:R173)</f>
        <v>11.205480000000001</v>
      </c>
      <c r="S174" s="415">
        <f t="shared" ref="S174" si="151">SUM(S168:S173)</f>
        <v>4.8</v>
      </c>
      <c r="T174" s="415">
        <f t="shared" ref="T174" si="152">SUM(T168:T173)</f>
        <v>8.6196000000000002</v>
      </c>
      <c r="U174" s="415">
        <f t="shared" ref="U174" si="153">SUM(U168:U173)</f>
        <v>1.7999999999999998</v>
      </c>
      <c r="V174" s="415"/>
      <c r="W174" s="415">
        <f t="shared" ref="W174" si="154">SUM(W168:W173)</f>
        <v>11.205480000000001</v>
      </c>
      <c r="X174" s="415">
        <f t="shared" ref="X174" si="155">SUM(X168:X173)</f>
        <v>4.8</v>
      </c>
      <c r="Y174" s="415">
        <f t="shared" ref="Y174" si="156">SUM(Y168:Y173)</f>
        <v>8.6196000000000002</v>
      </c>
      <c r="Z174" s="415">
        <f t="shared" ref="Z174" si="157">SUM(Z168:Z173)</f>
        <v>1.7999999999999998</v>
      </c>
      <c r="AB174" s="416"/>
      <c r="AC174" s="136"/>
      <c r="AD174" s="424"/>
      <c r="AE174" s="423">
        <f>SUM(AE168:AE173)</f>
        <v>32.193200000000004</v>
      </c>
      <c r="AF174" s="423">
        <f t="shared" ref="AF174:AH174" si="158">SUM(AF168:AF173)</f>
        <v>15</v>
      </c>
      <c r="AG174" s="423">
        <f t="shared" si="158"/>
        <v>24.763999999999999</v>
      </c>
      <c r="AH174" s="423">
        <f t="shared" si="158"/>
        <v>3</v>
      </c>
      <c r="AI174" s="423"/>
      <c r="AJ174" s="423">
        <f t="shared" ref="AJ174:AM174" si="159">SUM(AJ168:AJ173)</f>
        <v>31.2546</v>
      </c>
      <c r="AK174" s="423">
        <f t="shared" si="159"/>
        <v>24</v>
      </c>
      <c r="AL174" s="423">
        <f t="shared" si="159"/>
        <v>24.041999999999998</v>
      </c>
      <c r="AM174" s="423">
        <f t="shared" si="159"/>
        <v>9</v>
      </c>
      <c r="AN174" s="423"/>
      <c r="AO174" s="423">
        <f t="shared" ref="AO174:AR174" si="160">SUM(AO168:AO173)</f>
        <v>31.2546</v>
      </c>
      <c r="AP174" s="423">
        <f t="shared" si="160"/>
        <v>24</v>
      </c>
      <c r="AQ174" s="423">
        <f t="shared" si="160"/>
        <v>24.041999999999998</v>
      </c>
      <c r="AR174" s="423">
        <f t="shared" si="160"/>
        <v>9</v>
      </c>
      <c r="AS174" s="423"/>
      <c r="AT174" s="423">
        <f t="shared" ref="AT174:AW174" si="161">SUM(AT168:AT173)</f>
        <v>31.2546</v>
      </c>
      <c r="AU174" s="423">
        <f t="shared" si="161"/>
        <v>24</v>
      </c>
      <c r="AV174" s="423">
        <f t="shared" si="161"/>
        <v>24.041999999999998</v>
      </c>
      <c r="AW174" s="423">
        <f t="shared" si="161"/>
        <v>9</v>
      </c>
      <c r="AX174" s="423"/>
      <c r="AY174" s="423">
        <f t="shared" ref="AY174:BB174" si="162">SUM(AY168:AY173)</f>
        <v>31.2546</v>
      </c>
      <c r="AZ174" s="423">
        <f t="shared" si="162"/>
        <v>24</v>
      </c>
      <c r="BA174" s="423">
        <f t="shared" si="162"/>
        <v>24.041999999999998</v>
      </c>
      <c r="BB174" s="423">
        <f t="shared" si="162"/>
        <v>9</v>
      </c>
    </row>
    <row r="175" spans="1:54" x14ac:dyDescent="0.25">
      <c r="B175" s="416"/>
      <c r="C175" s="612">
        <f>C174+D174</f>
        <v>14.3932</v>
      </c>
      <c r="D175" s="612"/>
      <c r="E175" s="612">
        <f>E174+F174</f>
        <v>9.363999999999999</v>
      </c>
      <c r="F175" s="612"/>
      <c r="G175" s="416"/>
      <c r="H175" s="612">
        <f>H174+I174</f>
        <v>16.005480000000002</v>
      </c>
      <c r="I175" s="612"/>
      <c r="J175" s="612">
        <f>J174+K174</f>
        <v>10.419599999999999</v>
      </c>
      <c r="K175" s="612"/>
      <c r="L175" s="416"/>
      <c r="M175" s="612">
        <f>M174+N174</f>
        <v>16.005480000000002</v>
      </c>
      <c r="N175" s="612"/>
      <c r="O175" s="612">
        <f>O174+P174</f>
        <v>10.419599999999999</v>
      </c>
      <c r="P175" s="612"/>
      <c r="Q175" s="416"/>
      <c r="R175" s="612">
        <f>R174+S174</f>
        <v>16.005480000000002</v>
      </c>
      <c r="S175" s="612"/>
      <c r="T175" s="612">
        <f>T174+U174</f>
        <v>10.419599999999999</v>
      </c>
      <c r="U175" s="612"/>
      <c r="V175" s="416"/>
      <c r="W175" s="612">
        <f>W174+X174</f>
        <v>16.005480000000002</v>
      </c>
      <c r="X175" s="612"/>
      <c r="Y175" s="612">
        <f>Y174+Z174</f>
        <v>10.419599999999999</v>
      </c>
      <c r="Z175" s="612"/>
      <c r="AB175" s="416"/>
      <c r="AC175"/>
      <c r="AD175" s="424"/>
      <c r="AE175" s="612">
        <f>AE174+AF174</f>
        <v>47.193200000000004</v>
      </c>
      <c r="AF175" s="612"/>
      <c r="AG175" s="612">
        <f>AG174+AH174</f>
        <v>27.763999999999999</v>
      </c>
      <c r="AH175" s="612"/>
      <c r="AI175" s="424"/>
      <c r="AJ175" s="612">
        <f>AJ174+AK174</f>
        <v>55.254599999999996</v>
      </c>
      <c r="AK175" s="612"/>
      <c r="AL175" s="612">
        <f>AL174+AM174</f>
        <v>33.042000000000002</v>
      </c>
      <c r="AM175" s="612"/>
      <c r="AN175" s="424"/>
      <c r="AO175" s="612">
        <f>AO174+AP174</f>
        <v>55.254599999999996</v>
      </c>
      <c r="AP175" s="612"/>
      <c r="AQ175" s="612">
        <f>AQ174+AR174</f>
        <v>33.042000000000002</v>
      </c>
      <c r="AR175" s="612"/>
      <c r="AS175" s="424"/>
      <c r="AT175" s="612">
        <f>AT174+AU174</f>
        <v>55.254599999999996</v>
      </c>
      <c r="AU175" s="612"/>
      <c r="AV175" s="612">
        <f>AV174+AW174</f>
        <v>33.042000000000002</v>
      </c>
      <c r="AW175" s="612"/>
      <c r="AX175" s="424"/>
      <c r="AY175" s="612">
        <f>AY174+AZ174</f>
        <v>55.254599999999996</v>
      </c>
      <c r="AZ175" s="612"/>
      <c r="BA175" s="612">
        <f>BA174+BB174</f>
        <v>33.042000000000002</v>
      </c>
      <c r="BB175" s="612"/>
    </row>
    <row r="176" spans="1:54" x14ac:dyDescent="0.25">
      <c r="B176" s="416"/>
      <c r="G176" s="416"/>
      <c r="L176" s="416"/>
      <c r="Q176" s="416"/>
      <c r="V176" s="416"/>
      <c r="AB176" s="416"/>
      <c r="AC176" s="416"/>
      <c r="AD176" s="416"/>
      <c r="AE176" s="416"/>
      <c r="AF176" s="416"/>
      <c r="AG176" s="416"/>
      <c r="AH176" s="416"/>
      <c r="AI176" s="416"/>
      <c r="AJ176" s="416"/>
      <c r="AK176" s="416"/>
      <c r="AL176" s="416"/>
      <c r="AM176" s="416"/>
      <c r="AN176" s="416"/>
      <c r="AO176" s="416"/>
      <c r="AP176" s="416"/>
      <c r="AQ176" s="416"/>
      <c r="AR176" s="416"/>
      <c r="AS176" s="416"/>
      <c r="AT176" s="416"/>
      <c r="AU176" s="416"/>
      <c r="AV176" s="416"/>
      <c r="AW176" s="416"/>
    </row>
    <row r="177" spans="1:54" x14ac:dyDescent="0.25">
      <c r="B177" s="416"/>
      <c r="G177" s="416"/>
      <c r="L177" s="416"/>
      <c r="Q177" s="416"/>
      <c r="V177" s="416"/>
      <c r="AB177" s="416"/>
      <c r="AC177" s="416"/>
      <c r="AD177" s="416"/>
      <c r="AE177" s="416"/>
      <c r="AF177" s="416"/>
      <c r="AG177" s="416"/>
      <c r="AH177" s="416"/>
      <c r="AI177" s="416"/>
      <c r="AJ177" s="416"/>
      <c r="AK177" s="416"/>
      <c r="AL177" s="416"/>
      <c r="AM177" s="416"/>
      <c r="AN177" s="416"/>
      <c r="AO177" s="416"/>
      <c r="AP177" s="416"/>
      <c r="AQ177" s="416"/>
      <c r="AR177" s="416"/>
      <c r="AS177" s="416"/>
      <c r="AT177" s="416"/>
      <c r="AU177" s="416"/>
      <c r="AV177" s="416"/>
      <c r="AW177" s="416"/>
    </row>
    <row r="178" spans="1:54" x14ac:dyDescent="0.25">
      <c r="A178" s="403" t="s">
        <v>393</v>
      </c>
      <c r="B178" s="416"/>
      <c r="C178" t="s">
        <v>399</v>
      </c>
      <c r="G178" s="416"/>
      <c r="H178" t="s">
        <v>400</v>
      </c>
      <c r="L178" s="416"/>
      <c r="M178" t="s">
        <v>401</v>
      </c>
      <c r="Q178" s="416"/>
      <c r="R178" t="s">
        <v>232</v>
      </c>
      <c r="V178" s="416"/>
      <c r="W178" t="s">
        <v>402</v>
      </c>
      <c r="AB178" s="416"/>
      <c r="AC178" s="419" t="s">
        <v>451</v>
      </c>
      <c r="AD178" s="430"/>
      <c r="AE178"/>
      <c r="AF178"/>
      <c r="AG178"/>
      <c r="AH178"/>
      <c r="AI178" s="430"/>
      <c r="AJ178"/>
      <c r="AK178"/>
      <c r="AL178"/>
      <c r="AM178"/>
      <c r="AN178" s="430"/>
      <c r="AO178"/>
      <c r="AP178"/>
      <c r="AQ178"/>
      <c r="AR178"/>
      <c r="AS178" s="430"/>
      <c r="AT178"/>
      <c r="AU178"/>
      <c r="AV178"/>
      <c r="AW178"/>
      <c r="AX178" s="430"/>
    </row>
    <row r="179" spans="1:54" x14ac:dyDescent="0.25">
      <c r="A179" s="425" t="s">
        <v>421</v>
      </c>
      <c r="B179" s="416"/>
      <c r="G179" s="416"/>
      <c r="L179" s="416"/>
      <c r="Q179" s="416"/>
      <c r="V179" s="416"/>
      <c r="AB179" s="416"/>
      <c r="AC179" s="403" t="s">
        <v>393</v>
      </c>
      <c r="AD179" s="430"/>
      <c r="AE179" t="s">
        <v>399</v>
      </c>
      <c r="AF179"/>
      <c r="AG179"/>
      <c r="AH179"/>
      <c r="AI179" s="430"/>
      <c r="AJ179" t="s">
        <v>400</v>
      </c>
      <c r="AK179"/>
      <c r="AL179"/>
      <c r="AM179"/>
      <c r="AN179" s="430"/>
      <c r="AO179" t="s">
        <v>401</v>
      </c>
      <c r="AP179"/>
      <c r="AQ179"/>
      <c r="AR179"/>
      <c r="AS179" s="430"/>
      <c r="AT179" t="s">
        <v>232</v>
      </c>
      <c r="AU179"/>
      <c r="AV179"/>
      <c r="AW179"/>
      <c r="AX179" s="430"/>
      <c r="AY179" t="s">
        <v>402</v>
      </c>
    </row>
    <row r="180" spans="1:54" x14ac:dyDescent="0.25">
      <c r="A180" s="136"/>
      <c r="B180" s="306"/>
      <c r="C180" s="416" t="s">
        <v>386</v>
      </c>
      <c r="D180" s="416" t="s">
        <v>396</v>
      </c>
      <c r="E180" s="416" t="s">
        <v>288</v>
      </c>
      <c r="F180" s="418" t="s">
        <v>406</v>
      </c>
      <c r="G180" s="306"/>
      <c r="H180" s="416" t="s">
        <v>386</v>
      </c>
      <c r="I180" s="416" t="s">
        <v>396</v>
      </c>
      <c r="J180" s="416" t="s">
        <v>288</v>
      </c>
      <c r="K180" s="418" t="s">
        <v>407</v>
      </c>
      <c r="L180" s="306"/>
      <c r="M180" s="416" t="s">
        <v>386</v>
      </c>
      <c r="N180" s="416" t="s">
        <v>396</v>
      </c>
      <c r="O180" s="416" t="s">
        <v>288</v>
      </c>
      <c r="P180" s="411" t="s">
        <v>407</v>
      </c>
      <c r="Q180" s="306"/>
      <c r="R180" s="416" t="s">
        <v>386</v>
      </c>
      <c r="S180" s="416" t="s">
        <v>396</v>
      </c>
      <c r="T180" s="416" t="s">
        <v>288</v>
      </c>
      <c r="U180" s="411" t="s">
        <v>407</v>
      </c>
      <c r="V180" s="306"/>
      <c r="W180" s="416" t="s">
        <v>386</v>
      </c>
      <c r="X180" s="416" t="s">
        <v>396</v>
      </c>
      <c r="Y180" s="416" t="s">
        <v>288</v>
      </c>
      <c r="Z180" s="411" t="s">
        <v>407</v>
      </c>
      <c r="AB180" s="416"/>
      <c r="AC180" s="404" t="s">
        <v>445</v>
      </c>
      <c r="AD180" s="430"/>
      <c r="AE180"/>
      <c r="AF180"/>
      <c r="AG180"/>
      <c r="AH180"/>
      <c r="AI180" s="430"/>
      <c r="AJ180"/>
      <c r="AK180"/>
      <c r="AL180"/>
      <c r="AM180"/>
      <c r="AN180" s="430"/>
      <c r="AO180"/>
      <c r="AP180"/>
      <c r="AQ180"/>
      <c r="AR180"/>
      <c r="AS180" s="430"/>
      <c r="AT180"/>
      <c r="AU180"/>
      <c r="AV180"/>
      <c r="AW180"/>
      <c r="AX180" s="430"/>
    </row>
    <row r="181" spans="1:54" x14ac:dyDescent="0.25">
      <c r="A181" s="136" t="s">
        <v>312</v>
      </c>
      <c r="B181" s="106"/>
      <c r="C181" s="415" t="str">
        <f>IF(B181="","",B181*'Tabella Carichi Unitari'!$G$8)</f>
        <v/>
      </c>
      <c r="D181" s="415" t="str">
        <f>IF(B181="","",B181*'Tabella Carichi Unitari'!$H$8)</f>
        <v/>
      </c>
      <c r="E181" s="415" t="str">
        <f>IF(B181="","",B181*'Tabella Carichi Unitari'!$C$8)</f>
        <v/>
      </c>
      <c r="F181" s="415" t="str">
        <f>IF(B181="","",B181*'Tabella Carichi Unitari'!$K$8)</f>
        <v/>
      </c>
      <c r="G181" s="106"/>
      <c r="H181" s="415" t="str">
        <f>IF(G181="","",G181*'Tabella Carichi Unitari'!$G$5)</f>
        <v/>
      </c>
      <c r="I181" s="415" t="str">
        <f>IF(G181="","",G181*'Tabella Carichi Unitari'!$H$5)</f>
        <v/>
      </c>
      <c r="J181" s="415" t="str">
        <f>IF(G181="","",G181*'Tabella Carichi Unitari'!$C$5)</f>
        <v/>
      </c>
      <c r="K181" s="415" t="str">
        <f>IF(G181="","",G181*'Tabella Carichi Unitari'!$K$5)</f>
        <v/>
      </c>
      <c r="L181" s="106"/>
      <c r="M181" s="415" t="str">
        <f>IF(L181="","",L181*'Tabella Carichi Unitari'!$G$5)</f>
        <v/>
      </c>
      <c r="N181" s="415" t="str">
        <f>IF(L181="","",L181*'Tabella Carichi Unitari'!$H$5)</f>
        <v/>
      </c>
      <c r="O181" s="415" t="str">
        <f>IF(L181="","",L181*'Tabella Carichi Unitari'!$C$5)</f>
        <v/>
      </c>
      <c r="P181" s="109" t="str">
        <f>IF(L181="","",L181*'Tabella Carichi Unitari'!$K$5)</f>
        <v/>
      </c>
      <c r="Q181" s="416">
        <v>0.5</v>
      </c>
      <c r="R181" s="415">
        <f>IF(Q181="","",Q181*'Tabella Carichi Unitari'!$G$5)</f>
        <v>2.5061399999999998</v>
      </c>
      <c r="S181" s="415">
        <f>IF(Q181="","",Q181*'Tabella Carichi Unitari'!$H$5)</f>
        <v>1.5</v>
      </c>
      <c r="T181" s="415">
        <f>IF(Q181="","",Q181*'Tabella Carichi Unitari'!$C$5)</f>
        <v>1.9277999999999997</v>
      </c>
      <c r="U181" s="109">
        <f>IF(Q181="","",Q181*'Tabella Carichi Unitari'!$K$5)</f>
        <v>0.3</v>
      </c>
      <c r="V181" s="416">
        <v>0.5</v>
      </c>
      <c r="W181" s="415">
        <f>IF(V181="","",V181*'Tabella Carichi Unitari'!$G$5)</f>
        <v>2.5061399999999998</v>
      </c>
      <c r="X181" s="415">
        <f>IF(V181="","",V181*'Tabella Carichi Unitari'!$H$5)</f>
        <v>1.5</v>
      </c>
      <c r="Y181" s="415">
        <f>IF(V181="","",V181*'Tabella Carichi Unitari'!$C$5)</f>
        <v>1.9277999999999997</v>
      </c>
      <c r="Z181" s="109">
        <f>IF(V181="","",V181*'Tabella Carichi Unitari'!$K$5)</f>
        <v>0.3</v>
      </c>
      <c r="AB181" s="416"/>
      <c r="AC181" s="136"/>
      <c r="AD181" s="430"/>
      <c r="AE181" s="430" t="s">
        <v>386</v>
      </c>
      <c r="AF181" s="430" t="s">
        <v>396</v>
      </c>
      <c r="AG181" s="430" t="s">
        <v>288</v>
      </c>
      <c r="AH181" s="411" t="s">
        <v>406</v>
      </c>
      <c r="AI181" s="428"/>
      <c r="AJ181" s="430" t="s">
        <v>386</v>
      </c>
      <c r="AK181" s="430" t="s">
        <v>396</v>
      </c>
      <c r="AL181" s="430" t="s">
        <v>288</v>
      </c>
      <c r="AM181" s="411" t="s">
        <v>407</v>
      </c>
      <c r="AN181" s="428"/>
      <c r="AO181" s="430" t="s">
        <v>386</v>
      </c>
      <c r="AP181" s="430" t="s">
        <v>396</v>
      </c>
      <c r="AQ181" s="430" t="s">
        <v>288</v>
      </c>
      <c r="AR181" s="411" t="s">
        <v>407</v>
      </c>
      <c r="AS181" s="306"/>
      <c r="AT181" s="430" t="s">
        <v>386</v>
      </c>
      <c r="AU181" s="430" t="s">
        <v>396</v>
      </c>
      <c r="AV181" s="430" t="s">
        <v>288</v>
      </c>
      <c r="AW181" s="411" t="s">
        <v>407</v>
      </c>
      <c r="AX181" s="306"/>
      <c r="AY181" s="430" t="s">
        <v>386</v>
      </c>
      <c r="AZ181" s="430" t="s">
        <v>396</v>
      </c>
      <c r="BA181" s="430" t="s">
        <v>288</v>
      </c>
      <c r="BB181" s="411" t="s">
        <v>407</v>
      </c>
    </row>
    <row r="182" spans="1:54" x14ac:dyDescent="0.25">
      <c r="A182" s="136" t="s">
        <v>314</v>
      </c>
      <c r="B182" s="106">
        <f>(0.5+0.15)*2</f>
        <v>1.3</v>
      </c>
      <c r="C182" s="415">
        <f>IF(B182="","",B182*'Tabella Carichi Unitari'!$G$11)</f>
        <v>6.5910000000000002</v>
      </c>
      <c r="D182" s="415">
        <f>IF(B182="","",B182*'Tabella Carichi Unitari'!$H$11)</f>
        <v>0.97500000000000009</v>
      </c>
      <c r="E182" s="415">
        <f>IF(B182="","",B182*'Tabella Carichi Unitari'!$C$11)</f>
        <v>5.07</v>
      </c>
      <c r="F182" s="415">
        <f>IF(B182="","",B182*'Tabella Carichi Unitari'!$K$11)</f>
        <v>0</v>
      </c>
      <c r="G182" s="106">
        <f>B182</f>
        <v>1.3</v>
      </c>
      <c r="H182" s="415">
        <f>IF(G182="","",G182*'Tabella Carichi Unitari'!$G$10)</f>
        <v>6.9458999999999991</v>
      </c>
      <c r="I182" s="415">
        <f>IF(G182="","",G182*'Tabella Carichi Unitari'!$H$10)</f>
        <v>7.8000000000000007</v>
      </c>
      <c r="J182" s="415">
        <f>IF(G182="","",G182*'Tabella Carichi Unitari'!$C$10)</f>
        <v>5.3429999999999991</v>
      </c>
      <c r="K182" s="415">
        <f>IF(G182="","",G182*'Tabella Carichi Unitari'!$K$10)</f>
        <v>3.12</v>
      </c>
      <c r="L182" s="106">
        <f>B182</f>
        <v>1.3</v>
      </c>
      <c r="M182" s="415">
        <f>IF(L182="","",L182*'Tabella Carichi Unitari'!$G$10)</f>
        <v>6.9458999999999991</v>
      </c>
      <c r="N182" s="415">
        <f>IF(L182="","",L182*'Tabella Carichi Unitari'!$H$10)</f>
        <v>7.8000000000000007</v>
      </c>
      <c r="O182" s="415">
        <f>IF(L182="","",L182*'Tabella Carichi Unitari'!$C$10)</f>
        <v>5.3429999999999991</v>
      </c>
      <c r="P182" s="109">
        <f>IF(L182="","",L182*'Tabella Carichi Unitari'!$K$10)</f>
        <v>3.12</v>
      </c>
      <c r="Q182" s="416"/>
      <c r="R182" s="415" t="str">
        <f>IF(Q182="","",Q182*'Tabella Carichi Unitari'!$G$10)</f>
        <v/>
      </c>
      <c r="S182" s="415" t="str">
        <f>IF(Q182="","",Q182*'Tabella Carichi Unitari'!$H$10)</f>
        <v/>
      </c>
      <c r="T182" s="415" t="str">
        <f>IF(Q182="","",Q182*'Tabella Carichi Unitari'!$C$10)</f>
        <v/>
      </c>
      <c r="U182" s="109" t="str">
        <f>IF(Q182="","",Q182*'Tabella Carichi Unitari'!$K$10)</f>
        <v/>
      </c>
      <c r="V182" s="416"/>
      <c r="W182" s="415" t="str">
        <f>IF(V182="","",V182*'Tabella Carichi Unitari'!$G$10)</f>
        <v/>
      </c>
      <c r="X182" s="415" t="str">
        <f>IF(V182="","",V182*'Tabella Carichi Unitari'!$H$10)</f>
        <v/>
      </c>
      <c r="Y182" s="415" t="str">
        <f>IF(V182="","",V182*'Tabella Carichi Unitari'!$C$10)</f>
        <v/>
      </c>
      <c r="Z182" s="109" t="str">
        <f>IF(V182="","",V182*'Tabella Carichi Unitari'!$K$10)</f>
        <v/>
      </c>
      <c r="AB182" s="416"/>
      <c r="AC182" s="136" t="s">
        <v>312</v>
      </c>
      <c r="AD182" s="430">
        <f>((5.2/2)+(3.9/2))*1.2</f>
        <v>5.46</v>
      </c>
      <c r="AE182" s="429">
        <f>IF(AD182="","",AD182*'Tabella Carichi Unitari'!$G$8)</f>
        <v>28.391999999999999</v>
      </c>
      <c r="AF182" s="429">
        <f>IF(AD182="","",AD182*'Tabella Carichi Unitari'!$H$8)</f>
        <v>16.38</v>
      </c>
      <c r="AG182" s="429">
        <f>IF(AD182="","",AD182*'Tabella Carichi Unitari'!$C$8)</f>
        <v>21.84</v>
      </c>
      <c r="AH182" s="109">
        <f>IF(AD182="","",AD182*'Tabella Carichi Unitari'!$K$8)</f>
        <v>3.2759999999999998</v>
      </c>
      <c r="AI182" s="430">
        <f>AD182</f>
        <v>5.46</v>
      </c>
      <c r="AJ182" s="429">
        <f>IF(AI182="","",AI182*'Tabella Carichi Unitari'!$G$7)</f>
        <v>27.367048799999999</v>
      </c>
      <c r="AK182" s="429">
        <f>IF(AI182="","",AI182*'Tabella Carichi Unitari'!$H$7)</f>
        <v>26.207999999999998</v>
      </c>
      <c r="AL182" s="429">
        <f>IF(AI182="","",AI182*'Tabella Carichi Unitari'!$C$7)</f>
        <v>21.051575999999997</v>
      </c>
      <c r="AM182" s="109">
        <f>IF(AI182="","",AI182*'Tabella Carichi Unitari'!$K$7)</f>
        <v>9.8279999999999994</v>
      </c>
      <c r="AN182" s="430">
        <f>AD182</f>
        <v>5.46</v>
      </c>
      <c r="AO182" s="429">
        <f>IF(AN182="","",AN182*'Tabella Carichi Unitari'!$G$7)</f>
        <v>27.367048799999999</v>
      </c>
      <c r="AP182" s="429">
        <f>IF(AN182="","",AN182*'Tabella Carichi Unitari'!$H$7)</f>
        <v>26.207999999999998</v>
      </c>
      <c r="AQ182" s="429">
        <f>IF(AN182="","",AN182*'Tabella Carichi Unitari'!$C$7)</f>
        <v>21.051575999999997</v>
      </c>
      <c r="AR182" s="109">
        <f>IF(AN182="","",AN182*'Tabella Carichi Unitari'!$K$7)</f>
        <v>9.8279999999999994</v>
      </c>
      <c r="AS182" s="430">
        <f>AD182</f>
        <v>5.46</v>
      </c>
      <c r="AT182" s="429">
        <f>IF(AS182="","",AS182*'Tabella Carichi Unitari'!$G$7)</f>
        <v>27.367048799999999</v>
      </c>
      <c r="AU182" s="429">
        <f>IF(AS182="","",AS182*'Tabella Carichi Unitari'!$H$7)</f>
        <v>26.207999999999998</v>
      </c>
      <c r="AV182" s="429">
        <f>IF(AS182="","",AS182*'Tabella Carichi Unitari'!$C$7)</f>
        <v>21.051575999999997</v>
      </c>
      <c r="AW182" s="109">
        <f>IF(AS182="","",AS182*'Tabella Carichi Unitari'!$K$7)</f>
        <v>9.8279999999999994</v>
      </c>
      <c r="AX182" s="430">
        <f>AD182</f>
        <v>5.46</v>
      </c>
      <c r="AY182" s="429">
        <f>IF(AX182="","",AX182*'Tabella Carichi Unitari'!$G$7)</f>
        <v>27.367048799999999</v>
      </c>
      <c r="AZ182" s="429">
        <f>IF(AX182="","",AX182*'Tabella Carichi Unitari'!$H$7)</f>
        <v>26.207999999999998</v>
      </c>
      <c r="BA182" s="429">
        <f>IF(AX182="","",AX182*'Tabella Carichi Unitari'!$C$7)</f>
        <v>21.051575999999997</v>
      </c>
      <c r="BB182" s="109">
        <f>IF(AX182="","",AX182*'Tabella Carichi Unitari'!$K$7)</f>
        <v>9.8279999999999994</v>
      </c>
    </row>
    <row r="183" spans="1:54" x14ac:dyDescent="0.25">
      <c r="A183" s="136" t="s">
        <v>315</v>
      </c>
      <c r="B183" s="106">
        <f>(4.7/2)*1</f>
        <v>2.35</v>
      </c>
      <c r="C183" s="415">
        <f>IF(B183="","",B183*'Tabella Carichi Unitari'!$G$12)</f>
        <v>14.664000000000001</v>
      </c>
      <c r="D183" s="415">
        <f>IF(B183="","",B183*'Tabella Carichi Unitari'!$H$12)</f>
        <v>14.100000000000001</v>
      </c>
      <c r="E183" s="415">
        <f>IF(B183="","",B183*'Tabella Carichi Unitari'!$C$12)</f>
        <v>11.28</v>
      </c>
      <c r="F183" s="415">
        <f>IF(B183="","",B183*'Tabella Carichi Unitari'!$K$12)</f>
        <v>5.64</v>
      </c>
      <c r="G183" s="106">
        <v>2.35</v>
      </c>
      <c r="H183" s="415">
        <f>IF(G183="","",G183*'Tabella Carichi Unitari'!$G$12)</f>
        <v>14.664000000000001</v>
      </c>
      <c r="I183" s="415">
        <f>IF(G183="","",G183*'Tabella Carichi Unitari'!$H$12)</f>
        <v>14.100000000000001</v>
      </c>
      <c r="J183" s="415">
        <f>IF(G183="","",G183*'Tabella Carichi Unitari'!$C$12)</f>
        <v>11.28</v>
      </c>
      <c r="K183" s="415">
        <f>IF(G183="","",G183*'Tabella Carichi Unitari'!$K$12)</f>
        <v>5.64</v>
      </c>
      <c r="L183" s="106">
        <v>2.35</v>
      </c>
      <c r="M183" s="415">
        <f>IF(L183="","",L183*'Tabella Carichi Unitari'!$G$12)</f>
        <v>14.664000000000001</v>
      </c>
      <c r="N183" s="415">
        <f>IF(L183="","",L183*'Tabella Carichi Unitari'!$H$12)</f>
        <v>14.100000000000001</v>
      </c>
      <c r="O183" s="415">
        <f>IF(L183="","",L183*'Tabella Carichi Unitari'!$C$12)</f>
        <v>11.28</v>
      </c>
      <c r="P183" s="109">
        <f>IF(L183="","",L183*'Tabella Carichi Unitari'!$K$12)</f>
        <v>5.64</v>
      </c>
      <c r="Q183" s="416">
        <v>2.35</v>
      </c>
      <c r="R183" s="415">
        <f>IF(Q183="","",Q183*'Tabella Carichi Unitari'!$G$12)</f>
        <v>14.664000000000001</v>
      </c>
      <c r="S183" s="415">
        <f>IF(Q183="","",Q183*'Tabella Carichi Unitari'!$H$12)</f>
        <v>14.100000000000001</v>
      </c>
      <c r="T183" s="415">
        <f>IF(Q183="","",Q183*'Tabella Carichi Unitari'!$C$12)</f>
        <v>11.28</v>
      </c>
      <c r="U183" s="109">
        <f>IF(Q183="","",Q183*'Tabella Carichi Unitari'!$K$12)</f>
        <v>5.64</v>
      </c>
      <c r="V183" s="416">
        <v>2.35</v>
      </c>
      <c r="W183" s="415">
        <f>IF(V183="","",V183*'Tabella Carichi Unitari'!$G$12)</f>
        <v>14.664000000000001</v>
      </c>
      <c r="X183" s="415">
        <f>IF(V183="","",V183*'Tabella Carichi Unitari'!$H$12)</f>
        <v>14.100000000000001</v>
      </c>
      <c r="Y183" s="415">
        <f>IF(V183="","",V183*'Tabella Carichi Unitari'!$C$12)</f>
        <v>11.28</v>
      </c>
      <c r="Z183" s="109">
        <f>IF(V183="","",V183*'Tabella Carichi Unitari'!$K$12)</f>
        <v>5.64</v>
      </c>
      <c r="AB183" s="416"/>
      <c r="AC183" s="136" t="s">
        <v>314</v>
      </c>
      <c r="AD183" s="430"/>
      <c r="AE183" s="429" t="str">
        <f>IF(AD183="","",AD183*'Tabella Carichi Unitari'!$G$11)</f>
        <v/>
      </c>
      <c r="AF183" s="429" t="str">
        <f>IF(AD183="","",AD183*'Tabella Carichi Unitari'!$H$11)</f>
        <v/>
      </c>
      <c r="AG183" s="429" t="str">
        <f>IF(AD183="","",AD183*'Tabella Carichi Unitari'!$C$11)</f>
        <v/>
      </c>
      <c r="AH183" s="109" t="str">
        <f>IF(AD183="","",AD183*'Tabella Carichi Unitari'!$K$11)</f>
        <v/>
      </c>
      <c r="AI183" s="430"/>
      <c r="AJ183" s="429" t="str">
        <f>IF(AI183="","",AI183*'Tabella Carichi Unitari'!$G$10)</f>
        <v/>
      </c>
      <c r="AK183" s="429" t="str">
        <f>IF(AI183="","",AI183*'Tabella Carichi Unitari'!$H$10)</f>
        <v/>
      </c>
      <c r="AL183" s="429" t="str">
        <f>IF(AI183="","",AI183*'Tabella Carichi Unitari'!$C$10)</f>
        <v/>
      </c>
      <c r="AM183" s="109" t="str">
        <f>IF(AI183="","",AI183*'Tabella Carichi Unitari'!$K$10)</f>
        <v/>
      </c>
      <c r="AN183" s="430"/>
      <c r="AO183" s="429" t="str">
        <f>IF(AN183="","",AN183*'Tabella Carichi Unitari'!$G$10)</f>
        <v/>
      </c>
      <c r="AP183" s="429" t="str">
        <f>IF(AN183="","",AN183*'Tabella Carichi Unitari'!$H$10)</f>
        <v/>
      </c>
      <c r="AQ183" s="429" t="str">
        <f>IF(AN183="","",AN183*'Tabella Carichi Unitari'!$C$10)</f>
        <v/>
      </c>
      <c r="AR183" s="109" t="str">
        <f>IF(AN183="","",AN183*'Tabella Carichi Unitari'!$K$10)</f>
        <v/>
      </c>
      <c r="AS183" s="430"/>
      <c r="AT183" s="429" t="str">
        <f>IF(AS183="","",AS183*'Tabella Carichi Unitari'!$G$10)</f>
        <v/>
      </c>
      <c r="AU183" s="429" t="str">
        <f>IF(AS183="","",AS183*'Tabella Carichi Unitari'!$H$10)</f>
        <v/>
      </c>
      <c r="AV183" s="429" t="str">
        <f>IF(AS183="","",AS183*'Tabella Carichi Unitari'!$C$10)</f>
        <v/>
      </c>
      <c r="AW183" s="109" t="str">
        <f>IF(AS183="","",AS183*'Tabella Carichi Unitari'!$K$10)</f>
        <v/>
      </c>
      <c r="AX183" s="430"/>
      <c r="AY183" s="429" t="str">
        <f>IF(AX183="","",AX183*'Tabella Carichi Unitari'!$G$10)</f>
        <v/>
      </c>
      <c r="AZ183" s="429" t="str">
        <f>IF(AX183="","",AX183*'Tabella Carichi Unitari'!$H$10)</f>
        <v/>
      </c>
      <c r="BA183" s="429" t="str">
        <f>IF(AX183="","",AX183*'Tabella Carichi Unitari'!$C$10)</f>
        <v/>
      </c>
      <c r="BB183" s="109" t="str">
        <f>IF(AX183="","",AX183*'Tabella Carichi Unitari'!$K$10)</f>
        <v/>
      </c>
    </row>
    <row r="184" spans="1:54" x14ac:dyDescent="0.25">
      <c r="A184" s="136" t="s">
        <v>391</v>
      </c>
      <c r="B184" s="306">
        <v>1</v>
      </c>
      <c r="C184" s="415">
        <f>IF(B184="","",B184*'Tabella Carichi Unitari'!$G$15)</f>
        <v>3.8415000000000004</v>
      </c>
      <c r="D184" s="415">
        <f>IF(B184="","",B184*'Tabella Carichi Unitari'!$H$15)</f>
        <v>0</v>
      </c>
      <c r="E184" s="415">
        <f>IF(B184="","",B184*'Tabella Carichi Unitari'!$C$15)</f>
        <v>2.9550000000000001</v>
      </c>
      <c r="F184" s="415">
        <f>IF(B184="","",B184*'Tabella Carichi Unitari'!$K$15)</f>
        <v>0</v>
      </c>
      <c r="G184" s="306">
        <v>1</v>
      </c>
      <c r="H184" s="415">
        <f>IF(G184="","",G184*'Tabella Carichi Unitari'!$G$14)</f>
        <v>4.8165000000000004</v>
      </c>
      <c r="I184" s="415">
        <f>IF(G184="","",G184*'Tabella Carichi Unitari'!$H$14)</f>
        <v>0</v>
      </c>
      <c r="J184" s="415">
        <f>IF(G184="","",G184*'Tabella Carichi Unitari'!$C$14)</f>
        <v>3.7050000000000001</v>
      </c>
      <c r="K184" s="415">
        <f>IF(G184="","",G184*'Tabella Carichi Unitari'!$K$14)</f>
        <v>0</v>
      </c>
      <c r="L184" s="306">
        <v>1</v>
      </c>
      <c r="M184" s="415">
        <f>IF(L184="","",L184*'Tabella Carichi Unitari'!$G$13)</f>
        <v>5.7915000000000001</v>
      </c>
      <c r="N184" s="415">
        <f>IF(L184="","",L184*'Tabella Carichi Unitari'!$H$13)</f>
        <v>0</v>
      </c>
      <c r="O184" s="415">
        <f>IF(L184="","",L184*'Tabella Carichi Unitari'!$C$13)</f>
        <v>4.4550000000000001</v>
      </c>
      <c r="P184" s="109">
        <f>IF(L184="","",L184*'Tabella Carichi Unitari'!$K$13)</f>
        <v>0</v>
      </c>
      <c r="Q184" s="416">
        <v>1</v>
      </c>
      <c r="R184" s="415">
        <f>IF(Q184="","",Q184*'Tabella Carichi Unitari'!$G$13)</f>
        <v>5.7915000000000001</v>
      </c>
      <c r="S184" s="415">
        <f>IF(Q184="","",Q184*'Tabella Carichi Unitari'!$H$13)</f>
        <v>0</v>
      </c>
      <c r="T184" s="415">
        <f>IF(Q184="","",Q184*'Tabella Carichi Unitari'!$C$13)</f>
        <v>4.4550000000000001</v>
      </c>
      <c r="U184" s="109">
        <f>IF(Q184="","",Q184*'Tabella Carichi Unitari'!$K$13)</f>
        <v>0</v>
      </c>
      <c r="V184" s="416">
        <v>1</v>
      </c>
      <c r="W184" s="415">
        <f>IF(V184="","",V184*'Tabella Carichi Unitari'!$G$13)</f>
        <v>5.7915000000000001</v>
      </c>
      <c r="X184" s="415">
        <f>IF(V184="","",V184*'Tabella Carichi Unitari'!$H$13)</f>
        <v>0</v>
      </c>
      <c r="Y184" s="415">
        <f>IF(V184="","",V184*'Tabella Carichi Unitari'!$C$13)</f>
        <v>4.4550000000000001</v>
      </c>
      <c r="Z184" s="109">
        <f>IF(V184="","",V184*'Tabella Carichi Unitari'!$K$13)</f>
        <v>0</v>
      </c>
      <c r="AB184" s="416"/>
      <c r="AC184" s="136" t="s">
        <v>315</v>
      </c>
      <c r="AD184" s="430"/>
      <c r="AE184" s="429" t="str">
        <f>IF(AD184="","",AD184*'Tabella Carichi Unitari'!$G$12)</f>
        <v/>
      </c>
      <c r="AF184" s="429" t="str">
        <f>IF(AD184="","",AD184*'Tabella Carichi Unitari'!$H$12)</f>
        <v/>
      </c>
      <c r="AG184" s="429" t="str">
        <f>IF(AD184="","",AD184*'Tabella Carichi Unitari'!$C$12)</f>
        <v/>
      </c>
      <c r="AH184" s="109" t="str">
        <f>IF(AD184="","",AD184*'Tabella Carichi Unitari'!$K$12)</f>
        <v/>
      </c>
      <c r="AI184" s="430"/>
      <c r="AJ184" s="429" t="str">
        <f>IF(AI184="","",AI184*'Tabella Carichi Unitari'!$G$12)</f>
        <v/>
      </c>
      <c r="AK184" s="429" t="str">
        <f>IF(AI184="","",AI184*'Tabella Carichi Unitari'!$H$12)</f>
        <v/>
      </c>
      <c r="AL184" s="429" t="str">
        <f>IF(AI184="","",AI184*'Tabella Carichi Unitari'!$C$12)</f>
        <v/>
      </c>
      <c r="AM184" s="109" t="str">
        <f>IF(AI184="","",AI184*'Tabella Carichi Unitari'!$K$12)</f>
        <v/>
      </c>
      <c r="AN184" s="430"/>
      <c r="AO184" s="429" t="str">
        <f>IF(AN184="","",AN184*'Tabella Carichi Unitari'!$G$12)</f>
        <v/>
      </c>
      <c r="AP184" s="429" t="str">
        <f>IF(AN184="","",AN184*'Tabella Carichi Unitari'!$H$12)</f>
        <v/>
      </c>
      <c r="AQ184" s="429" t="str">
        <f>IF(AN184="","",AN184*'Tabella Carichi Unitari'!$C$12)</f>
        <v/>
      </c>
      <c r="AR184" s="109" t="str">
        <f>IF(AN184="","",AN184*'Tabella Carichi Unitari'!$K$12)</f>
        <v/>
      </c>
      <c r="AS184" s="430"/>
      <c r="AT184" s="429" t="str">
        <f>IF(AS184="","",AS184*'Tabella Carichi Unitari'!$G$12)</f>
        <v/>
      </c>
      <c r="AU184" s="429" t="str">
        <f>IF(AS184="","",AS184*'Tabella Carichi Unitari'!$H$12)</f>
        <v/>
      </c>
      <c r="AV184" s="429" t="str">
        <f>IF(AS184="","",AS184*'Tabella Carichi Unitari'!$C$12)</f>
        <v/>
      </c>
      <c r="AW184" s="109" t="str">
        <f>IF(AS184="","",AS184*'Tabella Carichi Unitari'!$K$12)</f>
        <v/>
      </c>
      <c r="AX184" s="430"/>
      <c r="AY184" s="429" t="str">
        <f>IF(AX184="","",AX184*'Tabella Carichi Unitari'!$G$12)</f>
        <v/>
      </c>
      <c r="AZ184" s="429" t="str">
        <f>IF(AX184="","",AX184*'Tabella Carichi Unitari'!$H$12)</f>
        <v/>
      </c>
      <c r="BA184" s="429" t="str">
        <f>IF(AX184="","",AX184*'Tabella Carichi Unitari'!$C$12)</f>
        <v/>
      </c>
      <c r="BB184" s="109" t="str">
        <f>IF(AX184="","",AX184*'Tabella Carichi Unitari'!$K$12)</f>
        <v/>
      </c>
    </row>
    <row r="185" spans="1:54" x14ac:dyDescent="0.25">
      <c r="A185" s="136" t="s">
        <v>392</v>
      </c>
      <c r="B185" s="306"/>
      <c r="C185" s="415" t="str">
        <f>IF(B185="","",B185*'Tabella Carichi Unitari'!$G$16)</f>
        <v/>
      </c>
      <c r="D185" s="415" t="str">
        <f>IF(B185="","",B185*'Tabella Carichi Unitari'!$H$16)</f>
        <v/>
      </c>
      <c r="E185" s="415" t="str">
        <f>IF(B185="","",B185*'Tabella Carichi Unitari'!$C$16)</f>
        <v/>
      </c>
      <c r="F185" s="415" t="str">
        <f>IF(B185="","",B185*'Tabella Carichi Unitari'!$K$16)</f>
        <v/>
      </c>
      <c r="G185" s="306"/>
      <c r="H185" s="415" t="str">
        <f>IF(G185="","",G185*'Tabella Carichi Unitari'!$G$16)</f>
        <v/>
      </c>
      <c r="I185" s="415" t="str">
        <f>IF(G185="","",G185*'Tabella Carichi Unitari'!$H$16)</f>
        <v/>
      </c>
      <c r="J185" s="415" t="str">
        <f>IF(G185="","",G185*'Tabella Carichi Unitari'!$C$16)</f>
        <v/>
      </c>
      <c r="K185" s="415" t="str">
        <f>IF(G185="","",G185*'Tabella Carichi Unitari'!$K$16)</f>
        <v/>
      </c>
      <c r="L185" s="306"/>
      <c r="M185" s="415" t="str">
        <f>IF(L185="","",L185*'Tabella Carichi Unitari'!$G$9)</f>
        <v/>
      </c>
      <c r="N185" s="415" t="str">
        <f>IF(L185="","",L185*'Tabella Carichi Unitari'!$H$9)</f>
        <v/>
      </c>
      <c r="O185" s="415" t="str">
        <f>IF(L185="","",L185*'Tabella Carichi Unitari'!$C$9)</f>
        <v/>
      </c>
      <c r="P185" s="109" t="str">
        <f>IF(L185="","",L185*'Tabella Carichi Unitari'!$K$9)</f>
        <v/>
      </c>
      <c r="Q185" s="416"/>
      <c r="R185" s="415" t="str">
        <f>IF(Q185="","",Q185*'Tabella Carichi Unitari'!$G$9)</f>
        <v/>
      </c>
      <c r="S185" s="415" t="str">
        <f>IF(Q185="","",Q185*'Tabella Carichi Unitari'!$H$9)</f>
        <v/>
      </c>
      <c r="T185" s="415" t="str">
        <f>IF(Q185="","",Q185*'Tabella Carichi Unitari'!$C$9)</f>
        <v/>
      </c>
      <c r="U185" s="109" t="str">
        <f>IF(Q185="","",Q185*'Tabella Carichi Unitari'!$K$9)</f>
        <v/>
      </c>
      <c r="V185" s="416"/>
      <c r="W185" s="415" t="str">
        <f>IF(V185="","",V185*'Tabella Carichi Unitari'!$G$9)</f>
        <v/>
      </c>
      <c r="X185" s="415" t="str">
        <f>IF(V185="","",V185*'Tabella Carichi Unitari'!$H$9)</f>
        <v/>
      </c>
      <c r="Y185" s="415" t="str">
        <f>IF(V185="","",V185*'Tabella Carichi Unitari'!$C$9)</f>
        <v/>
      </c>
      <c r="Z185" s="109" t="str">
        <f>IF(V185="","",V185*'Tabella Carichi Unitari'!$K$9)</f>
        <v/>
      </c>
      <c r="AB185" s="416"/>
      <c r="AC185" s="136" t="s">
        <v>391</v>
      </c>
      <c r="AD185" s="430">
        <v>1</v>
      </c>
      <c r="AE185" s="429">
        <f>IF(AD185="","",AD185*'Tabella Carichi Unitari'!$G$15)</f>
        <v>3.8415000000000004</v>
      </c>
      <c r="AF185" s="429">
        <f>IF(AD185="","",AD185*'Tabella Carichi Unitari'!$H$15)</f>
        <v>0</v>
      </c>
      <c r="AG185" s="429">
        <f>IF(AD185="","",AD185*'Tabella Carichi Unitari'!$C$15)</f>
        <v>2.9550000000000001</v>
      </c>
      <c r="AH185" s="109">
        <f>IF(AD185="","",AD185*'Tabella Carichi Unitari'!$K$15)</f>
        <v>0</v>
      </c>
      <c r="AI185" s="430">
        <v>1</v>
      </c>
      <c r="AJ185" s="429">
        <f>IF(AI185="","",AI185*'Tabella Carichi Unitari'!$G$14)</f>
        <v>4.8165000000000004</v>
      </c>
      <c r="AK185" s="429">
        <f>IF(AI185="","",AI185*'Tabella Carichi Unitari'!$H$14)</f>
        <v>0</v>
      </c>
      <c r="AL185" s="429">
        <f>IF(AI185="","",AI185*'Tabella Carichi Unitari'!$C$14)</f>
        <v>3.7050000000000001</v>
      </c>
      <c r="AM185" s="109">
        <f>IF(AI185="","",AI185*'Tabella Carichi Unitari'!$K$14)</f>
        <v>0</v>
      </c>
      <c r="AN185" s="430">
        <v>1</v>
      </c>
      <c r="AO185" s="429">
        <f>IF(AN185="","",AN185*'Tabella Carichi Unitari'!$G$13)</f>
        <v>5.7915000000000001</v>
      </c>
      <c r="AP185" s="429">
        <f>IF(AN185="","",AN185*'Tabella Carichi Unitari'!$H$13)</f>
        <v>0</v>
      </c>
      <c r="AQ185" s="429">
        <f>IF(AN185="","",AN185*'Tabella Carichi Unitari'!$C$13)</f>
        <v>4.4550000000000001</v>
      </c>
      <c r="AR185" s="109">
        <f>IF(AN185="","",AN185*'Tabella Carichi Unitari'!$K$13)</f>
        <v>0</v>
      </c>
      <c r="AS185" s="430">
        <v>1</v>
      </c>
      <c r="AT185" s="429">
        <f>IF(AS185="","",AS185*'Tabella Carichi Unitari'!$G$13)</f>
        <v>5.7915000000000001</v>
      </c>
      <c r="AU185" s="429">
        <f>IF(AS185="","",AS185*'Tabella Carichi Unitari'!$H$13)</f>
        <v>0</v>
      </c>
      <c r="AV185" s="429">
        <f>IF(AS185="","",AS185*'Tabella Carichi Unitari'!$C$13)</f>
        <v>4.4550000000000001</v>
      </c>
      <c r="AW185" s="109">
        <f>IF(AS185="","",AS185*'Tabella Carichi Unitari'!$K$13)</f>
        <v>0</v>
      </c>
      <c r="AX185" s="430">
        <v>1</v>
      </c>
      <c r="AY185" s="429">
        <f>IF(AX185="","",AX185*'Tabella Carichi Unitari'!$G$13)</f>
        <v>5.7915000000000001</v>
      </c>
      <c r="AZ185" s="429">
        <f>IF(AX185="","",AX185*'Tabella Carichi Unitari'!$H$13)</f>
        <v>0</v>
      </c>
      <c r="BA185" s="429">
        <f>IF(AX185="","",AX185*'Tabella Carichi Unitari'!$C$13)</f>
        <v>4.4550000000000001</v>
      </c>
      <c r="BB185" s="109">
        <f>IF(AX185="","",AX185*'Tabella Carichi Unitari'!$K$13)</f>
        <v>0</v>
      </c>
    </row>
    <row r="186" spans="1:54" x14ac:dyDescent="0.25">
      <c r="A186" s="136" t="s">
        <v>313</v>
      </c>
      <c r="B186" s="306"/>
      <c r="C186" s="168" t="str">
        <f>IF(B186="","",B186*'Tabella Carichi Unitari'!$G$17)</f>
        <v/>
      </c>
      <c r="D186" s="168" t="str">
        <f>IF(B186="","",B186*'Tabella Carichi Unitari'!$H$17)</f>
        <v/>
      </c>
      <c r="E186" s="168" t="str">
        <f>IF(B186="","",B186*'Tabella Carichi Unitari'!$C$17)</f>
        <v/>
      </c>
      <c r="F186" s="110" t="str">
        <f>IF(B186="","",B186*'Tabella Carichi Unitari'!$K$17)</f>
        <v/>
      </c>
      <c r="G186" s="306">
        <v>0.8</v>
      </c>
      <c r="H186" s="168">
        <f>IF(G186="","",G186*'Tabella Carichi Unitari'!$G$17)</f>
        <v>6.0320000000000009</v>
      </c>
      <c r="I186" s="168">
        <f>IF(G186="","",G186*'Tabella Carichi Unitari'!$H$17)</f>
        <v>0</v>
      </c>
      <c r="J186" s="168">
        <f>IF(G186="","",G186*'Tabella Carichi Unitari'!$C$17)</f>
        <v>4.6400000000000006</v>
      </c>
      <c r="K186" s="110">
        <f>IF(G186="","",G186*'Tabella Carichi Unitari'!$K$17)</f>
        <v>0</v>
      </c>
      <c r="L186" s="306">
        <v>0.8</v>
      </c>
      <c r="M186" s="168">
        <f>IF(L186="","",L186*'Tabella Carichi Unitari'!$G$17)</f>
        <v>6.0320000000000009</v>
      </c>
      <c r="N186" s="168">
        <f>IF(L186="","",L186*'Tabella Carichi Unitari'!$H$17)</f>
        <v>0</v>
      </c>
      <c r="O186" s="168">
        <f>IF(L186="","",L186*'Tabella Carichi Unitari'!$C$17)</f>
        <v>4.6400000000000006</v>
      </c>
      <c r="P186" s="110">
        <f>IF(L186="","",L186*'Tabella Carichi Unitari'!$K$17)</f>
        <v>0</v>
      </c>
      <c r="Q186" s="416">
        <v>0.9</v>
      </c>
      <c r="R186" s="168">
        <f>IF(Q186="","",Q186*'Tabella Carichi Unitari'!$G$17)</f>
        <v>6.7860000000000014</v>
      </c>
      <c r="S186" s="168">
        <f>IF(Q186="","",Q186*'Tabella Carichi Unitari'!$H$17)</f>
        <v>0</v>
      </c>
      <c r="T186" s="168">
        <f>IF(Q186="","",Q186*'Tabella Carichi Unitari'!$C$17)</f>
        <v>5.2200000000000006</v>
      </c>
      <c r="U186" s="110">
        <f>IF(Q186="","",Q186*'Tabella Carichi Unitari'!$K$17)</f>
        <v>0</v>
      </c>
      <c r="V186" s="416">
        <v>0.9</v>
      </c>
      <c r="W186" s="168">
        <f>IF(V186="","",V186*'Tabella Carichi Unitari'!$G$17)</f>
        <v>6.7860000000000014</v>
      </c>
      <c r="X186" s="168">
        <f>IF(V186="","",V186*'Tabella Carichi Unitari'!$H$17)</f>
        <v>0</v>
      </c>
      <c r="Y186" s="168">
        <f>IF(V186="","",V186*'Tabella Carichi Unitari'!$C$17)</f>
        <v>5.2200000000000006</v>
      </c>
      <c r="Z186" s="110">
        <f>IF(V186="","",V186*'Tabella Carichi Unitari'!$K$17)</f>
        <v>0</v>
      </c>
      <c r="AB186" s="416"/>
      <c r="AC186" s="136" t="s">
        <v>392</v>
      </c>
      <c r="AD186" s="430"/>
      <c r="AE186" s="429" t="str">
        <f>IF(AD186="","",AD186*'Tabella Carichi Unitari'!$G$16)</f>
        <v/>
      </c>
      <c r="AF186" s="429" t="str">
        <f>IF(AD186="","",AD186*'Tabella Carichi Unitari'!$H$16)</f>
        <v/>
      </c>
      <c r="AG186" s="429" t="str">
        <f>IF(AD186="","",AD186*'Tabella Carichi Unitari'!$C$16)</f>
        <v/>
      </c>
      <c r="AH186" s="109" t="str">
        <f>IF(AD186="","",AD186*'Tabella Carichi Unitari'!$K$16)</f>
        <v/>
      </c>
      <c r="AI186" s="430"/>
      <c r="AJ186" s="429" t="str">
        <f>IF(AI186="","",AI186*'Tabella Carichi Unitari'!$G$16)</f>
        <v/>
      </c>
      <c r="AK186" s="429" t="str">
        <f>IF(AI186="","",AI186*'Tabella Carichi Unitari'!$H$16)</f>
        <v/>
      </c>
      <c r="AL186" s="429" t="str">
        <f>IF(AI186="","",AI186*'Tabella Carichi Unitari'!$C$16)</f>
        <v/>
      </c>
      <c r="AM186" s="109" t="str">
        <f>IF(AI186="","",AI186*'Tabella Carichi Unitari'!$K$16)</f>
        <v/>
      </c>
      <c r="AN186" s="430"/>
      <c r="AO186" s="429" t="str">
        <f>IF(AN186="","",AN186*'Tabella Carichi Unitari'!$G$16)</f>
        <v/>
      </c>
      <c r="AP186" s="429" t="str">
        <f>IF(AN186="","",AN186*'Tabella Carichi Unitari'!$H$16)</f>
        <v/>
      </c>
      <c r="AQ186" s="429" t="str">
        <f>IF(AN186="","",AN186*'Tabella Carichi Unitari'!$C$16)</f>
        <v/>
      </c>
      <c r="AR186" s="109" t="str">
        <f>IF(AN186="","",AN186*'Tabella Carichi Unitari'!$K$16)</f>
        <v/>
      </c>
      <c r="AS186" s="430"/>
      <c r="AT186" s="429" t="str">
        <f>IF(AS186="","",AS186*'Tabella Carichi Unitari'!$G$16)</f>
        <v/>
      </c>
      <c r="AU186" s="429" t="str">
        <f>IF(AS186="","",AS186*'Tabella Carichi Unitari'!$H$16)</f>
        <v/>
      </c>
      <c r="AV186" s="429" t="str">
        <f>IF(AS186="","",AS186*'Tabella Carichi Unitari'!$C$16)</f>
        <v/>
      </c>
      <c r="AW186" s="109" t="str">
        <f>IF(AS186="","",AS186*'Tabella Carichi Unitari'!$K$16)</f>
        <v/>
      </c>
      <c r="AX186" s="430"/>
      <c r="AY186" s="429" t="str">
        <f>IF(AX186="","",AX186*'Tabella Carichi Unitari'!$G$16)</f>
        <v/>
      </c>
      <c r="AZ186" s="429" t="str">
        <f>IF(AX186="","",AX186*'Tabella Carichi Unitari'!$H$16)</f>
        <v/>
      </c>
      <c r="BA186" s="429" t="str">
        <f>IF(AX186="","",AX186*'Tabella Carichi Unitari'!$C$16)</f>
        <v/>
      </c>
      <c r="BB186" s="109" t="str">
        <f>IF(AX186="","",AX186*'Tabella Carichi Unitari'!$K$16)</f>
        <v/>
      </c>
    </row>
    <row r="187" spans="1:54" x14ac:dyDescent="0.25">
      <c r="A187" s="136"/>
      <c r="B187" s="306"/>
      <c r="C187" s="415">
        <f>SUM(C181:C186)</f>
        <v>25.096500000000002</v>
      </c>
      <c r="D187" s="415">
        <f>SUM(D181:D186)</f>
        <v>15.075000000000001</v>
      </c>
      <c r="E187" s="415">
        <f>SUM(E181:E186)</f>
        <v>19.305</v>
      </c>
      <c r="F187" s="415">
        <f>SUM(F181:F186)</f>
        <v>5.64</v>
      </c>
      <c r="G187" s="306"/>
      <c r="H187" s="415">
        <f>SUM(H181:H186)</f>
        <v>32.458400000000005</v>
      </c>
      <c r="I187" s="415">
        <f>SUM(I181:I186)</f>
        <v>21.900000000000002</v>
      </c>
      <c r="J187" s="415">
        <f>SUM(J181:J186)</f>
        <v>24.967999999999996</v>
      </c>
      <c r="K187" s="415">
        <f>SUM(K181:K186)</f>
        <v>8.76</v>
      </c>
      <c r="L187" s="306"/>
      <c r="M187" s="415">
        <f>SUM(M181:M186)</f>
        <v>33.433399999999999</v>
      </c>
      <c r="N187" s="415">
        <f>SUM(N181:N186)</f>
        <v>21.900000000000002</v>
      </c>
      <c r="O187" s="415">
        <f>SUM(O181:O186)</f>
        <v>25.717999999999996</v>
      </c>
      <c r="P187" s="109">
        <f>SUM(P181:P186)</f>
        <v>8.76</v>
      </c>
      <c r="Q187" s="416"/>
      <c r="R187" s="415">
        <f>SUM(R181:R186)</f>
        <v>29.747640000000001</v>
      </c>
      <c r="S187" s="415">
        <f t="shared" ref="S187:U187" si="163">SUM(S181:S186)</f>
        <v>15.600000000000001</v>
      </c>
      <c r="T187" s="415">
        <f t="shared" si="163"/>
        <v>22.882799999999996</v>
      </c>
      <c r="U187" s="415">
        <f t="shared" si="163"/>
        <v>5.9399999999999995</v>
      </c>
      <c r="V187" s="416"/>
      <c r="W187" s="415">
        <f>SUM(W181:W186)</f>
        <v>29.747640000000001</v>
      </c>
      <c r="X187" s="415">
        <f t="shared" ref="X187:Z187" si="164">SUM(X181:X186)</f>
        <v>15.600000000000001</v>
      </c>
      <c r="Y187" s="415">
        <f t="shared" si="164"/>
        <v>22.882799999999996</v>
      </c>
      <c r="Z187" s="415">
        <f t="shared" si="164"/>
        <v>5.9399999999999995</v>
      </c>
      <c r="AB187" s="416"/>
      <c r="AC187" s="136" t="s">
        <v>313</v>
      </c>
      <c r="AD187" s="430"/>
      <c r="AE187" s="168" t="str">
        <f>IF(AD187="","",AD187*'Tabella Carichi Unitari'!$G$17)</f>
        <v/>
      </c>
      <c r="AF187" s="168" t="str">
        <f>IF(AD187="","",AD187*'Tabella Carichi Unitari'!$H$17)</f>
        <v/>
      </c>
      <c r="AG187" s="168" t="str">
        <f>IF(AD187="","",AD187*'Tabella Carichi Unitari'!$C$17)</f>
        <v/>
      </c>
      <c r="AH187" s="110" t="str">
        <f>IF(AD187="","",AD187*'Tabella Carichi Unitari'!$K$17)</f>
        <v/>
      </c>
      <c r="AI187" s="430"/>
      <c r="AJ187" s="168" t="str">
        <f>IF(AI187="","",AI187*'Tabella Carichi Unitari'!$G$17)</f>
        <v/>
      </c>
      <c r="AK187" s="168" t="str">
        <f>IF(AI187="","",AI187*'Tabella Carichi Unitari'!$H$17)</f>
        <v/>
      </c>
      <c r="AL187" s="168" t="str">
        <f>IF(AI187="","",AI187*'Tabella Carichi Unitari'!$C$17)</f>
        <v/>
      </c>
      <c r="AM187" s="110" t="str">
        <f>IF(AI187="","",AI187*'Tabella Carichi Unitari'!$K$17)</f>
        <v/>
      </c>
      <c r="AN187" s="430"/>
      <c r="AO187" s="168" t="str">
        <f>IF(AN187="","",AN187*'Tabella Carichi Unitari'!$G$17)</f>
        <v/>
      </c>
      <c r="AP187" s="168" t="str">
        <f>IF(AN187="","",AN187*'Tabella Carichi Unitari'!$H$17)</f>
        <v/>
      </c>
      <c r="AQ187" s="168" t="str">
        <f>IF(AN187="","",AN187*'Tabella Carichi Unitari'!$C$17)</f>
        <v/>
      </c>
      <c r="AR187" s="110" t="str">
        <f>IF(AN187="","",AN187*'Tabella Carichi Unitari'!$K$17)</f>
        <v/>
      </c>
      <c r="AS187" s="430"/>
      <c r="AT187" s="168" t="str">
        <f>IF(AS187="","",AS187*'Tabella Carichi Unitari'!$G$17)</f>
        <v/>
      </c>
      <c r="AU187" s="168" t="str">
        <f>IF(AS187="","",AS187*'Tabella Carichi Unitari'!$H$17)</f>
        <v/>
      </c>
      <c r="AV187" s="168" t="str">
        <f>IF(AS187="","",AS187*'Tabella Carichi Unitari'!$C$17)</f>
        <v/>
      </c>
      <c r="AW187" s="110" t="str">
        <f>IF(AS187="","",AS187*'Tabella Carichi Unitari'!$K$17)</f>
        <v/>
      </c>
      <c r="AX187" s="430"/>
      <c r="AY187" s="168" t="str">
        <f>IF(AX187="","",AX187*'Tabella Carichi Unitari'!$G$17)</f>
        <v/>
      </c>
      <c r="AZ187" s="168" t="str">
        <f>IF(AX187="","",AX187*'Tabella Carichi Unitari'!$H$17)</f>
        <v/>
      </c>
      <c r="BA187" s="168" t="str">
        <f>IF(AX187="","",AX187*'Tabella Carichi Unitari'!$C$17)</f>
        <v/>
      </c>
      <c r="BB187" s="110" t="str">
        <f>IF(AX187="","",AX187*'Tabella Carichi Unitari'!$K$17)</f>
        <v/>
      </c>
    </row>
    <row r="188" spans="1:54" x14ac:dyDescent="0.25">
      <c r="B188" s="412"/>
      <c r="C188" s="612">
        <f>C187+D187</f>
        <v>40.171500000000002</v>
      </c>
      <c r="D188" s="612"/>
      <c r="E188" s="612">
        <f>E187+F187</f>
        <v>24.945</v>
      </c>
      <c r="F188" s="612"/>
      <c r="G188" s="412"/>
      <c r="H188" s="612">
        <f>H187+I187</f>
        <v>54.358400000000003</v>
      </c>
      <c r="I188" s="612"/>
      <c r="J188" s="612">
        <f>J187+K187</f>
        <v>33.727999999999994</v>
      </c>
      <c r="K188" s="612"/>
      <c r="L188" s="412"/>
      <c r="M188" s="612">
        <f>M187+N187</f>
        <v>55.333399999999997</v>
      </c>
      <c r="N188" s="612"/>
      <c r="O188" s="612">
        <f>O187+P187</f>
        <v>34.477999999999994</v>
      </c>
      <c r="P188" s="612"/>
      <c r="Q188" s="416"/>
      <c r="R188" s="612">
        <f>R187+S187</f>
        <v>45.347639999999998</v>
      </c>
      <c r="S188" s="612"/>
      <c r="T188" s="612">
        <f>T187+U187</f>
        <v>28.822799999999994</v>
      </c>
      <c r="U188" s="612"/>
      <c r="V188" s="416"/>
      <c r="W188" s="612">
        <f>W187+X187</f>
        <v>45.347639999999998</v>
      </c>
      <c r="X188" s="612"/>
      <c r="Y188" s="612">
        <f>Y187+Z187</f>
        <v>28.822799999999994</v>
      </c>
      <c r="Z188" s="612"/>
      <c r="AB188" s="416"/>
      <c r="AC188" s="136"/>
      <c r="AD188" s="430"/>
      <c r="AE188" s="429">
        <f>SUM(AE182:AE187)</f>
        <v>32.233499999999999</v>
      </c>
      <c r="AF188" s="429">
        <f t="shared" ref="AF188:AH188" si="165">SUM(AF182:AF187)</f>
        <v>16.38</v>
      </c>
      <c r="AG188" s="429">
        <f t="shared" si="165"/>
        <v>24.795000000000002</v>
      </c>
      <c r="AH188" s="429">
        <f t="shared" si="165"/>
        <v>3.2759999999999998</v>
      </c>
      <c r="AI188" s="429"/>
      <c r="AJ188" s="429">
        <f t="shared" ref="AJ188:AM188" si="166">SUM(AJ182:AJ187)</f>
        <v>32.183548799999997</v>
      </c>
      <c r="AK188" s="429">
        <f t="shared" si="166"/>
        <v>26.207999999999998</v>
      </c>
      <c r="AL188" s="429">
        <f t="shared" si="166"/>
        <v>24.756575999999995</v>
      </c>
      <c r="AM188" s="429">
        <f t="shared" si="166"/>
        <v>9.8279999999999994</v>
      </c>
      <c r="AN188" s="429"/>
      <c r="AO188" s="429">
        <f t="shared" ref="AO188:AR188" si="167">SUM(AO182:AO187)</f>
        <v>33.158548799999998</v>
      </c>
      <c r="AP188" s="429">
        <f t="shared" si="167"/>
        <v>26.207999999999998</v>
      </c>
      <c r="AQ188" s="429">
        <f t="shared" si="167"/>
        <v>25.506575999999995</v>
      </c>
      <c r="AR188" s="429">
        <f t="shared" si="167"/>
        <v>9.8279999999999994</v>
      </c>
      <c r="AS188" s="429"/>
      <c r="AT188" s="429">
        <f t="shared" ref="AT188:AW188" si="168">SUM(AT182:AT187)</f>
        <v>33.158548799999998</v>
      </c>
      <c r="AU188" s="429">
        <f t="shared" si="168"/>
        <v>26.207999999999998</v>
      </c>
      <c r="AV188" s="429">
        <f t="shared" si="168"/>
        <v>25.506575999999995</v>
      </c>
      <c r="AW188" s="429">
        <f t="shared" si="168"/>
        <v>9.8279999999999994</v>
      </c>
      <c r="AX188" s="429"/>
      <c r="AY188" s="429">
        <f t="shared" ref="AY188:BB188" si="169">SUM(AY182:AY187)</f>
        <v>33.158548799999998</v>
      </c>
      <c r="AZ188" s="429">
        <f t="shared" si="169"/>
        <v>26.207999999999998</v>
      </c>
      <c r="BA188" s="429">
        <f t="shared" si="169"/>
        <v>25.506575999999995</v>
      </c>
      <c r="BB188" s="429">
        <f t="shared" si="169"/>
        <v>9.8279999999999994</v>
      </c>
    </row>
    <row r="189" spans="1:54" x14ac:dyDescent="0.25">
      <c r="B189" s="416"/>
      <c r="G189" s="416"/>
      <c r="L189" s="416"/>
      <c r="Q189" s="416"/>
      <c r="V189" s="416"/>
      <c r="AB189" s="416"/>
      <c r="AC189"/>
      <c r="AD189" s="430"/>
      <c r="AE189" s="612">
        <f>AE188+AF188</f>
        <v>48.613500000000002</v>
      </c>
      <c r="AF189" s="612"/>
      <c r="AG189" s="612">
        <f>AG188+AH188</f>
        <v>28.071000000000002</v>
      </c>
      <c r="AH189" s="612"/>
      <c r="AI189" s="430"/>
      <c r="AJ189" s="612">
        <f>AJ188+AK188</f>
        <v>58.391548799999995</v>
      </c>
      <c r="AK189" s="612"/>
      <c r="AL189" s="612">
        <f>AL188+AM188</f>
        <v>34.584575999999998</v>
      </c>
      <c r="AM189" s="612"/>
      <c r="AN189" s="430"/>
      <c r="AO189" s="612">
        <f>AO188+AP188</f>
        <v>59.366548799999997</v>
      </c>
      <c r="AP189" s="612"/>
      <c r="AQ189" s="612">
        <f>AQ188+AR188</f>
        <v>35.334575999999998</v>
      </c>
      <c r="AR189" s="612"/>
      <c r="AS189" s="430"/>
      <c r="AT189" s="612">
        <f>AT188+AU188</f>
        <v>59.366548799999997</v>
      </c>
      <c r="AU189" s="612"/>
      <c r="AV189" s="612">
        <f>AV188+AW188</f>
        <v>35.334575999999998</v>
      </c>
      <c r="AW189" s="612"/>
      <c r="AX189" s="430"/>
      <c r="AY189" s="612">
        <f>AY188+AZ188</f>
        <v>59.366548799999997</v>
      </c>
      <c r="AZ189" s="612"/>
      <c r="BA189" s="612">
        <f>BA188+BB188</f>
        <v>35.334575999999998</v>
      </c>
      <c r="BB189" s="612"/>
    </row>
    <row r="190" spans="1:54" x14ac:dyDescent="0.25">
      <c r="B190" s="416"/>
      <c r="G190" s="416"/>
      <c r="L190" s="416"/>
      <c r="Q190" s="416"/>
      <c r="V190" s="416"/>
      <c r="AB190" s="416"/>
      <c r="AC190" s="430"/>
      <c r="AD190" s="430"/>
      <c r="AE190" s="430"/>
      <c r="AF190" s="430"/>
      <c r="AG190" s="430"/>
      <c r="AH190" s="430"/>
      <c r="AI190" s="430"/>
      <c r="AJ190" s="430"/>
      <c r="AK190" s="430"/>
      <c r="AL190" s="430"/>
      <c r="AM190" s="430"/>
      <c r="AN190" s="430"/>
      <c r="AO190" s="430"/>
      <c r="AP190" s="430"/>
      <c r="AQ190" s="430"/>
      <c r="AR190" s="430"/>
      <c r="AS190" s="430"/>
      <c r="AT190" s="430"/>
      <c r="AU190" s="430"/>
      <c r="AV190" s="430"/>
      <c r="AW190" s="430"/>
    </row>
    <row r="191" spans="1:54" x14ac:dyDescent="0.25">
      <c r="A191" s="403" t="s">
        <v>393</v>
      </c>
      <c r="B191" s="416"/>
      <c r="C191" t="s">
        <v>399</v>
      </c>
      <c r="G191" s="416"/>
      <c r="H191" t="s">
        <v>400</v>
      </c>
      <c r="L191" s="416"/>
      <c r="M191" t="s">
        <v>401</v>
      </c>
      <c r="Q191" s="416"/>
      <c r="R191" t="s">
        <v>232</v>
      </c>
      <c r="V191" s="416"/>
      <c r="W191" t="s">
        <v>402</v>
      </c>
      <c r="AB191" s="416"/>
      <c r="AC191" s="403" t="s">
        <v>393</v>
      </c>
      <c r="AD191" s="430"/>
      <c r="AE191" t="s">
        <v>399</v>
      </c>
      <c r="AF191"/>
      <c r="AG191"/>
      <c r="AH191"/>
      <c r="AI191" s="430"/>
      <c r="AJ191" t="s">
        <v>400</v>
      </c>
      <c r="AK191"/>
      <c r="AL191"/>
      <c r="AM191"/>
      <c r="AN191" s="430"/>
      <c r="AO191" t="s">
        <v>401</v>
      </c>
      <c r="AP191"/>
      <c r="AQ191"/>
      <c r="AR191"/>
      <c r="AS191" s="430"/>
      <c r="AT191" t="s">
        <v>232</v>
      </c>
      <c r="AU191"/>
      <c r="AV191"/>
      <c r="AW191"/>
      <c r="AX191" s="430"/>
      <c r="AY191" t="s">
        <v>402</v>
      </c>
    </row>
    <row r="192" spans="1:54" x14ac:dyDescent="0.25">
      <c r="A192" s="425" t="s">
        <v>422</v>
      </c>
      <c r="B192" s="416"/>
      <c r="G192" s="416"/>
      <c r="L192" s="416"/>
      <c r="Q192" s="416"/>
      <c r="V192" s="416"/>
      <c r="AB192" s="416"/>
      <c r="AC192" s="404" t="s">
        <v>446</v>
      </c>
      <c r="AD192" s="430"/>
      <c r="AE192"/>
      <c r="AF192"/>
      <c r="AG192"/>
      <c r="AH192"/>
      <c r="AI192" s="430"/>
      <c r="AJ192"/>
      <c r="AK192"/>
      <c r="AL192"/>
      <c r="AM192"/>
      <c r="AN192" s="430"/>
      <c r="AO192"/>
      <c r="AP192"/>
      <c r="AQ192"/>
      <c r="AR192"/>
      <c r="AS192" s="430"/>
      <c r="AT192"/>
      <c r="AU192"/>
      <c r="AV192"/>
      <c r="AW192"/>
      <c r="AX192" s="430"/>
    </row>
    <row r="193" spans="1:54" x14ac:dyDescent="0.25">
      <c r="A193" s="136"/>
      <c r="B193" s="416"/>
      <c r="C193" s="416" t="s">
        <v>386</v>
      </c>
      <c r="D193" s="416" t="s">
        <v>396</v>
      </c>
      <c r="E193" s="416" t="s">
        <v>288</v>
      </c>
      <c r="F193" s="411" t="s">
        <v>406</v>
      </c>
      <c r="G193" s="412"/>
      <c r="H193" s="416" t="s">
        <v>386</v>
      </c>
      <c r="I193" s="416" t="s">
        <v>396</v>
      </c>
      <c r="J193" s="416" t="s">
        <v>288</v>
      </c>
      <c r="K193" s="411" t="s">
        <v>407</v>
      </c>
      <c r="L193" s="412"/>
      <c r="M193" s="416" t="s">
        <v>386</v>
      </c>
      <c r="N193" s="416" t="s">
        <v>396</v>
      </c>
      <c r="O193" s="416" t="s">
        <v>288</v>
      </c>
      <c r="P193" s="411" t="s">
        <v>407</v>
      </c>
      <c r="Q193" s="306"/>
      <c r="R193" s="416" t="s">
        <v>386</v>
      </c>
      <c r="S193" s="416" t="s">
        <v>396</v>
      </c>
      <c r="T193" s="416" t="s">
        <v>288</v>
      </c>
      <c r="U193" s="411" t="s">
        <v>407</v>
      </c>
      <c r="V193" s="306"/>
      <c r="W193" s="416" t="s">
        <v>386</v>
      </c>
      <c r="X193" s="416" t="s">
        <v>396</v>
      </c>
      <c r="Y193" s="416" t="s">
        <v>288</v>
      </c>
      <c r="Z193" s="411" t="s">
        <v>407</v>
      </c>
      <c r="AB193" s="416"/>
      <c r="AC193" s="136"/>
      <c r="AD193" s="430"/>
      <c r="AE193" s="430" t="s">
        <v>386</v>
      </c>
      <c r="AF193" s="430" t="s">
        <v>396</v>
      </c>
      <c r="AG193" s="430" t="s">
        <v>288</v>
      </c>
      <c r="AH193" s="411" t="s">
        <v>406</v>
      </c>
      <c r="AI193" s="428"/>
      <c r="AJ193" s="430" t="s">
        <v>386</v>
      </c>
      <c r="AK193" s="430" t="s">
        <v>396</v>
      </c>
      <c r="AL193" s="430" t="s">
        <v>288</v>
      </c>
      <c r="AM193" s="411" t="s">
        <v>407</v>
      </c>
      <c r="AN193" s="428"/>
      <c r="AO193" s="430" t="s">
        <v>386</v>
      </c>
      <c r="AP193" s="430" t="s">
        <v>396</v>
      </c>
      <c r="AQ193" s="430" t="s">
        <v>288</v>
      </c>
      <c r="AR193" s="411" t="s">
        <v>407</v>
      </c>
      <c r="AS193" s="306"/>
      <c r="AT193" s="430" t="s">
        <v>386</v>
      </c>
      <c r="AU193" s="430" t="s">
        <v>396</v>
      </c>
      <c r="AV193" s="430" t="s">
        <v>288</v>
      </c>
      <c r="AW193" s="411" t="s">
        <v>407</v>
      </c>
      <c r="AX193" s="306"/>
      <c r="AY193" s="430" t="s">
        <v>386</v>
      </c>
      <c r="AZ193" s="430" t="s">
        <v>396</v>
      </c>
      <c r="BA193" s="430" t="s">
        <v>288</v>
      </c>
      <c r="BB193" s="411" t="s">
        <v>407</v>
      </c>
    </row>
    <row r="194" spans="1:54" x14ac:dyDescent="0.25">
      <c r="A194" s="136" t="s">
        <v>312</v>
      </c>
      <c r="B194" s="416">
        <v>1</v>
      </c>
      <c r="C194" s="415">
        <f>IF(B194="","",B194*'Tabella Carichi Unitari'!$G$8)</f>
        <v>5.2</v>
      </c>
      <c r="D194" s="415">
        <f>IF(B194="","",B194*'Tabella Carichi Unitari'!$H$8)</f>
        <v>3</v>
      </c>
      <c r="E194" s="415">
        <f>IF(B194="","",B194*'Tabella Carichi Unitari'!$C$8)</f>
        <v>4</v>
      </c>
      <c r="F194" s="109">
        <f>IF(B194="","",B194*'Tabella Carichi Unitari'!$K$8)</f>
        <v>0.6</v>
      </c>
      <c r="G194" s="416">
        <v>1</v>
      </c>
      <c r="H194" s="415">
        <f>IF(G194="","",G194*'Tabella Carichi Unitari'!$G$7)</f>
        <v>5.0122799999999996</v>
      </c>
      <c r="I194" s="415">
        <f>IF(G194="","",G194*'Tabella Carichi Unitari'!$H$7)</f>
        <v>4.8</v>
      </c>
      <c r="J194" s="415">
        <f>IF(G194="","",G194*'Tabella Carichi Unitari'!$C$7)</f>
        <v>3.8555999999999995</v>
      </c>
      <c r="K194" s="109">
        <f>IF(G194="","",G194*'Tabella Carichi Unitari'!$K$7)</f>
        <v>1.7999999999999998</v>
      </c>
      <c r="L194" s="416">
        <v>1</v>
      </c>
      <c r="M194" s="415">
        <f>IF(L194="","",L194*'Tabella Carichi Unitari'!$G$7)</f>
        <v>5.0122799999999996</v>
      </c>
      <c r="N194" s="415">
        <f>IF(L194="","",L194*'Tabella Carichi Unitari'!$H$7)</f>
        <v>4.8</v>
      </c>
      <c r="O194" s="415">
        <f>IF(L194="","",L194*'Tabella Carichi Unitari'!$C$7)</f>
        <v>3.8555999999999995</v>
      </c>
      <c r="P194" s="109">
        <f>IF(L194="","",L194*'Tabella Carichi Unitari'!$K$7)</f>
        <v>1.7999999999999998</v>
      </c>
      <c r="Q194" s="416">
        <v>1</v>
      </c>
      <c r="R194" s="415">
        <f>IF(Q194="","",Q194*'Tabella Carichi Unitari'!$G$7)</f>
        <v>5.0122799999999996</v>
      </c>
      <c r="S194" s="415">
        <f>IF(Q194="","",Q194*'Tabella Carichi Unitari'!$H$7)</f>
        <v>4.8</v>
      </c>
      <c r="T194" s="415">
        <f>IF(Q194="","",Q194*'Tabella Carichi Unitari'!$C$7)</f>
        <v>3.8555999999999995</v>
      </c>
      <c r="U194" s="109">
        <f>IF(Q194="","",Q194*'Tabella Carichi Unitari'!$K$7)</f>
        <v>1.7999999999999998</v>
      </c>
      <c r="V194" s="416">
        <v>1</v>
      </c>
      <c r="W194" s="415">
        <f>IF(V194="","",V194*'Tabella Carichi Unitari'!$G$7)</f>
        <v>5.0122799999999996</v>
      </c>
      <c r="X194" s="415">
        <f>IF(V194="","",V194*'Tabella Carichi Unitari'!$H$7)</f>
        <v>4.8</v>
      </c>
      <c r="Y194" s="415">
        <f>IF(V194="","",V194*'Tabella Carichi Unitari'!$C$7)</f>
        <v>3.8555999999999995</v>
      </c>
      <c r="Z194" s="109">
        <f>IF(V194="","",V194*'Tabella Carichi Unitari'!$K$7)</f>
        <v>1.7999999999999998</v>
      </c>
      <c r="AB194" s="416"/>
      <c r="AC194" s="136" t="s">
        <v>312</v>
      </c>
      <c r="AD194" s="429">
        <f>((5.2/2)+(3.5/2))*1.05</f>
        <v>4.5674999999999999</v>
      </c>
      <c r="AE194" s="429">
        <f>IF(AD194="","",AD194*'Tabella Carichi Unitari'!$G$8)</f>
        <v>23.751000000000001</v>
      </c>
      <c r="AF194" s="429">
        <f>IF(AD194="","",AD194*'Tabella Carichi Unitari'!$H$8)</f>
        <v>13.702500000000001</v>
      </c>
      <c r="AG194" s="429">
        <f>IF(AD194="","",AD194*'Tabella Carichi Unitari'!$C$8)</f>
        <v>18.27</v>
      </c>
      <c r="AH194" s="109">
        <f>IF(AD194="","",AD194*'Tabella Carichi Unitari'!$K$8)</f>
        <v>2.7404999999999999</v>
      </c>
      <c r="AI194" s="429">
        <f>AD194</f>
        <v>4.5674999999999999</v>
      </c>
      <c r="AJ194" s="429">
        <f>IF(AI194="","",AI194*'Tabella Carichi Unitari'!$G$7)</f>
        <v>22.893588899999997</v>
      </c>
      <c r="AK194" s="429">
        <f>IF(AI194="","",AI194*'Tabella Carichi Unitari'!$H$7)</f>
        <v>21.923999999999999</v>
      </c>
      <c r="AL194" s="429">
        <f>IF(AI194="","",AI194*'Tabella Carichi Unitari'!$C$7)</f>
        <v>17.610452999999996</v>
      </c>
      <c r="AM194" s="109">
        <f>IF(AI194="","",AI194*'Tabella Carichi Unitari'!$K$7)</f>
        <v>8.2214999999999989</v>
      </c>
      <c r="AN194" s="429">
        <f>AD194</f>
        <v>4.5674999999999999</v>
      </c>
      <c r="AO194" s="429">
        <f>IF(AN194="","",AN194*'Tabella Carichi Unitari'!$G$7)</f>
        <v>22.893588899999997</v>
      </c>
      <c r="AP194" s="429">
        <f>IF(AN194="","",AN194*'Tabella Carichi Unitari'!$H$7)</f>
        <v>21.923999999999999</v>
      </c>
      <c r="AQ194" s="429">
        <f>IF(AN194="","",AN194*'Tabella Carichi Unitari'!$C$7)</f>
        <v>17.610452999999996</v>
      </c>
      <c r="AR194" s="109">
        <f>IF(AN194="","",AN194*'Tabella Carichi Unitari'!$K$7)</f>
        <v>8.2214999999999989</v>
      </c>
      <c r="AS194" s="429">
        <f>AD194</f>
        <v>4.5674999999999999</v>
      </c>
      <c r="AT194" s="429">
        <f>IF(AS194="","",AS194*'Tabella Carichi Unitari'!$G$7)</f>
        <v>22.893588899999997</v>
      </c>
      <c r="AU194" s="429">
        <f>IF(AS194="","",AS194*'Tabella Carichi Unitari'!$H$7)</f>
        <v>21.923999999999999</v>
      </c>
      <c r="AV194" s="429">
        <f>IF(AS194="","",AS194*'Tabella Carichi Unitari'!$C$7)</f>
        <v>17.610452999999996</v>
      </c>
      <c r="AW194" s="109">
        <f>IF(AS194="","",AS194*'Tabella Carichi Unitari'!$K$7)</f>
        <v>8.2214999999999989</v>
      </c>
      <c r="AX194" s="429">
        <f>AD194</f>
        <v>4.5674999999999999</v>
      </c>
      <c r="AY194" s="429">
        <f>IF(AX194="","",AX194*'Tabella Carichi Unitari'!$G$7)</f>
        <v>22.893588899999997</v>
      </c>
      <c r="AZ194" s="429">
        <f>IF(AX194="","",AX194*'Tabella Carichi Unitari'!$H$7)</f>
        <v>21.923999999999999</v>
      </c>
      <c r="BA194" s="429">
        <f>IF(AX194="","",AX194*'Tabella Carichi Unitari'!$C$7)</f>
        <v>17.610452999999996</v>
      </c>
      <c r="BB194" s="109">
        <f>IF(AX194="","",AX194*'Tabella Carichi Unitari'!$K$7)</f>
        <v>8.2214999999999989</v>
      </c>
    </row>
    <row r="195" spans="1:54" x14ac:dyDescent="0.25">
      <c r="A195" s="136" t="s">
        <v>314</v>
      </c>
      <c r="B195" s="416"/>
      <c r="C195" s="415" t="str">
        <f>IF(B195="","",B195*'Tabella Carichi Unitari'!$G$11)</f>
        <v/>
      </c>
      <c r="D195" s="415" t="str">
        <f>IF(B195="","",B195*'Tabella Carichi Unitari'!$H$11)</f>
        <v/>
      </c>
      <c r="E195" s="415" t="str">
        <f>IF(B195="","",B195*'Tabella Carichi Unitari'!$C$11)</f>
        <v/>
      </c>
      <c r="F195" s="109" t="str">
        <f>IF(B195="","",B195*'Tabella Carichi Unitari'!$K$11)</f>
        <v/>
      </c>
      <c r="G195" s="416"/>
      <c r="H195" s="415" t="str">
        <f>IF(G195="","",G195*'Tabella Carichi Unitari'!$G$10)</f>
        <v/>
      </c>
      <c r="I195" s="415" t="str">
        <f>IF(G195="","",G195*'Tabella Carichi Unitari'!$H$10)</f>
        <v/>
      </c>
      <c r="J195" s="415" t="str">
        <f>IF(G195="","",G195*'Tabella Carichi Unitari'!$C$10)</f>
        <v/>
      </c>
      <c r="K195" s="109" t="str">
        <f>IF(G195="","",G195*'Tabella Carichi Unitari'!$K$10)</f>
        <v/>
      </c>
      <c r="L195" s="416"/>
      <c r="M195" s="415" t="str">
        <f>IF(L195="","",L195*'Tabella Carichi Unitari'!$G$10)</f>
        <v/>
      </c>
      <c r="N195" s="415" t="str">
        <f>IF(L195="","",L195*'Tabella Carichi Unitari'!$H$10)</f>
        <v/>
      </c>
      <c r="O195" s="415" t="str">
        <f>IF(L195="","",L195*'Tabella Carichi Unitari'!$C$10)</f>
        <v/>
      </c>
      <c r="P195" s="109" t="str">
        <f>IF(L195="","",L195*'Tabella Carichi Unitari'!$K$10)</f>
        <v/>
      </c>
      <c r="Q195" s="416"/>
      <c r="R195" s="415" t="str">
        <f>IF(Q195="","",Q195*'Tabella Carichi Unitari'!$G$10)</f>
        <v/>
      </c>
      <c r="S195" s="415" t="str">
        <f>IF(Q195="","",Q195*'Tabella Carichi Unitari'!$H$10)</f>
        <v/>
      </c>
      <c r="T195" s="415" t="str">
        <f>IF(Q195="","",Q195*'Tabella Carichi Unitari'!$C$10)</f>
        <v/>
      </c>
      <c r="U195" s="109" t="str">
        <f>IF(Q195="","",Q195*'Tabella Carichi Unitari'!$K$10)</f>
        <v/>
      </c>
      <c r="V195" s="416"/>
      <c r="W195" s="415" t="str">
        <f>IF(V195="","",V195*'Tabella Carichi Unitari'!$G$10)</f>
        <v/>
      </c>
      <c r="X195" s="415" t="str">
        <f>IF(V195="","",V195*'Tabella Carichi Unitari'!$H$10)</f>
        <v/>
      </c>
      <c r="Y195" s="415" t="str">
        <f>IF(V195="","",V195*'Tabella Carichi Unitari'!$C$10)</f>
        <v/>
      </c>
      <c r="Z195" s="109" t="str">
        <f>IF(V195="","",V195*'Tabella Carichi Unitari'!$K$10)</f>
        <v/>
      </c>
      <c r="AB195" s="416"/>
      <c r="AC195" s="136" t="s">
        <v>314</v>
      </c>
      <c r="AD195" s="430"/>
      <c r="AE195" s="429" t="str">
        <f>IF(AD195="","",AD195*'Tabella Carichi Unitari'!$G$11)</f>
        <v/>
      </c>
      <c r="AF195" s="429" t="str">
        <f>IF(AD195="","",AD195*'Tabella Carichi Unitari'!$H$11)</f>
        <v/>
      </c>
      <c r="AG195" s="429" t="str">
        <f>IF(AD195="","",AD195*'Tabella Carichi Unitari'!$C$11)</f>
        <v/>
      </c>
      <c r="AH195" s="109" t="str">
        <f>IF(AD195="","",AD195*'Tabella Carichi Unitari'!$K$11)</f>
        <v/>
      </c>
      <c r="AI195" s="430"/>
      <c r="AJ195" s="429" t="str">
        <f>IF(AI195="","",AI195*'Tabella Carichi Unitari'!$G$10)</f>
        <v/>
      </c>
      <c r="AK195" s="429" t="str">
        <f>IF(AI195="","",AI195*'Tabella Carichi Unitari'!$H$10)</f>
        <v/>
      </c>
      <c r="AL195" s="429" t="str">
        <f>IF(AI195="","",AI195*'Tabella Carichi Unitari'!$C$10)</f>
        <v/>
      </c>
      <c r="AM195" s="109" t="str">
        <f>IF(AI195="","",AI195*'Tabella Carichi Unitari'!$K$10)</f>
        <v/>
      </c>
      <c r="AN195" s="430"/>
      <c r="AO195" s="429" t="str">
        <f>IF(AN195="","",AN195*'Tabella Carichi Unitari'!$G$10)</f>
        <v/>
      </c>
      <c r="AP195" s="429" t="str">
        <f>IF(AN195="","",AN195*'Tabella Carichi Unitari'!$H$10)</f>
        <v/>
      </c>
      <c r="AQ195" s="429" t="str">
        <f>IF(AN195="","",AN195*'Tabella Carichi Unitari'!$C$10)</f>
        <v/>
      </c>
      <c r="AR195" s="109" t="str">
        <f>IF(AN195="","",AN195*'Tabella Carichi Unitari'!$K$10)</f>
        <v/>
      </c>
      <c r="AS195" s="430"/>
      <c r="AT195" s="429" t="str">
        <f>IF(AS195="","",AS195*'Tabella Carichi Unitari'!$G$10)</f>
        <v/>
      </c>
      <c r="AU195" s="429" t="str">
        <f>IF(AS195="","",AS195*'Tabella Carichi Unitari'!$H$10)</f>
        <v/>
      </c>
      <c r="AV195" s="429" t="str">
        <f>IF(AS195="","",AS195*'Tabella Carichi Unitari'!$C$10)</f>
        <v/>
      </c>
      <c r="AW195" s="109" t="str">
        <f>IF(AS195="","",AS195*'Tabella Carichi Unitari'!$K$10)</f>
        <v/>
      </c>
      <c r="AX195" s="430"/>
      <c r="AY195" s="429" t="str">
        <f>IF(AX195="","",AX195*'Tabella Carichi Unitari'!$G$10)</f>
        <v/>
      </c>
      <c r="AZ195" s="429" t="str">
        <f>IF(AX195="","",AX195*'Tabella Carichi Unitari'!$H$10)</f>
        <v/>
      </c>
      <c r="BA195" s="429" t="str">
        <f>IF(AX195="","",AX195*'Tabella Carichi Unitari'!$C$10)</f>
        <v/>
      </c>
      <c r="BB195" s="109" t="str">
        <f>IF(AX195="","",AX195*'Tabella Carichi Unitari'!$K$10)</f>
        <v/>
      </c>
    </row>
    <row r="196" spans="1:54" x14ac:dyDescent="0.25">
      <c r="A196" s="136" t="s">
        <v>315</v>
      </c>
      <c r="B196" s="416"/>
      <c r="C196" s="415" t="str">
        <f>IF(B196="","",B196*'Tabella Carichi Unitari'!$G$12)</f>
        <v/>
      </c>
      <c r="D196" s="415" t="str">
        <f>IF(B196="","",B196*'Tabella Carichi Unitari'!$H$12)</f>
        <v/>
      </c>
      <c r="E196" s="415" t="str">
        <f>IF(B196="","",B196*'Tabella Carichi Unitari'!$C$12)</f>
        <v/>
      </c>
      <c r="F196" s="109" t="str">
        <f>IF(B196="","",B196*'Tabella Carichi Unitari'!$K$12)</f>
        <v/>
      </c>
      <c r="G196" s="416"/>
      <c r="H196" s="415" t="str">
        <f>IF(G196="","",G196*'Tabella Carichi Unitari'!$G$12)</f>
        <v/>
      </c>
      <c r="I196" s="415" t="str">
        <f>IF(G196="","",G196*'Tabella Carichi Unitari'!$H$12)</f>
        <v/>
      </c>
      <c r="J196" s="415" t="str">
        <f>IF(G196="","",G196*'Tabella Carichi Unitari'!$C$12)</f>
        <v/>
      </c>
      <c r="K196" s="109" t="str">
        <f>IF(G196="","",G196*'Tabella Carichi Unitari'!$K$12)</f>
        <v/>
      </c>
      <c r="L196" s="416"/>
      <c r="M196" s="415" t="str">
        <f>IF(L196="","",L196*'Tabella Carichi Unitari'!$G$12)</f>
        <v/>
      </c>
      <c r="N196" s="415" t="str">
        <f>IF(L196="","",L196*'Tabella Carichi Unitari'!$H$12)</f>
        <v/>
      </c>
      <c r="O196" s="415" t="str">
        <f>IF(L196="","",L196*'Tabella Carichi Unitari'!$C$12)</f>
        <v/>
      </c>
      <c r="P196" s="109" t="str">
        <f>IF(L196="","",L196*'Tabella Carichi Unitari'!$K$12)</f>
        <v/>
      </c>
      <c r="Q196" s="416"/>
      <c r="R196" s="415" t="str">
        <f>IF(Q196="","",Q196*'Tabella Carichi Unitari'!$G$12)</f>
        <v/>
      </c>
      <c r="S196" s="415" t="str">
        <f>IF(Q196="","",Q196*'Tabella Carichi Unitari'!$H$12)</f>
        <v/>
      </c>
      <c r="T196" s="415" t="str">
        <f>IF(Q196="","",Q196*'Tabella Carichi Unitari'!$C$12)</f>
        <v/>
      </c>
      <c r="U196" s="109" t="str">
        <f>IF(Q196="","",Q196*'Tabella Carichi Unitari'!$K$12)</f>
        <v/>
      </c>
      <c r="V196" s="416"/>
      <c r="W196" s="415" t="str">
        <f>IF(V196="","",V196*'Tabella Carichi Unitari'!$G$12)</f>
        <v/>
      </c>
      <c r="X196" s="415" t="str">
        <f>IF(V196="","",V196*'Tabella Carichi Unitari'!$H$12)</f>
        <v/>
      </c>
      <c r="Y196" s="415" t="str">
        <f>IF(V196="","",V196*'Tabella Carichi Unitari'!$C$12)</f>
        <v/>
      </c>
      <c r="Z196" s="109" t="str">
        <f>IF(V196="","",V196*'Tabella Carichi Unitari'!$K$12)</f>
        <v/>
      </c>
      <c r="AB196" s="416"/>
      <c r="AC196" s="136" t="s">
        <v>315</v>
      </c>
      <c r="AD196" s="430"/>
      <c r="AE196" s="429" t="str">
        <f>IF(AD196="","",AD196*'Tabella Carichi Unitari'!$G$12)</f>
        <v/>
      </c>
      <c r="AF196" s="429" t="str">
        <f>IF(AD196="","",AD196*'Tabella Carichi Unitari'!$H$12)</f>
        <v/>
      </c>
      <c r="AG196" s="429" t="str">
        <f>IF(AD196="","",AD196*'Tabella Carichi Unitari'!$C$12)</f>
        <v/>
      </c>
      <c r="AH196" s="109" t="str">
        <f>IF(AD196="","",AD196*'Tabella Carichi Unitari'!$K$12)</f>
        <v/>
      </c>
      <c r="AI196" s="430"/>
      <c r="AJ196" s="429" t="str">
        <f>IF(AI196="","",AI196*'Tabella Carichi Unitari'!$G$12)</f>
        <v/>
      </c>
      <c r="AK196" s="429" t="str">
        <f>IF(AI196="","",AI196*'Tabella Carichi Unitari'!$H$12)</f>
        <v/>
      </c>
      <c r="AL196" s="429" t="str">
        <f>IF(AI196="","",AI196*'Tabella Carichi Unitari'!$C$12)</f>
        <v/>
      </c>
      <c r="AM196" s="109" t="str">
        <f>IF(AI196="","",AI196*'Tabella Carichi Unitari'!$K$12)</f>
        <v/>
      </c>
      <c r="AN196" s="430"/>
      <c r="AO196" s="429" t="str">
        <f>IF(AN196="","",AN196*'Tabella Carichi Unitari'!$G$12)</f>
        <v/>
      </c>
      <c r="AP196" s="429" t="str">
        <f>IF(AN196="","",AN196*'Tabella Carichi Unitari'!$H$12)</f>
        <v/>
      </c>
      <c r="AQ196" s="429" t="str">
        <f>IF(AN196="","",AN196*'Tabella Carichi Unitari'!$C$12)</f>
        <v/>
      </c>
      <c r="AR196" s="109" t="str">
        <f>IF(AN196="","",AN196*'Tabella Carichi Unitari'!$K$12)</f>
        <v/>
      </c>
      <c r="AS196" s="430"/>
      <c r="AT196" s="429" t="str">
        <f>IF(AS196="","",AS196*'Tabella Carichi Unitari'!$G$12)</f>
        <v/>
      </c>
      <c r="AU196" s="429" t="str">
        <f>IF(AS196="","",AS196*'Tabella Carichi Unitari'!$H$12)</f>
        <v/>
      </c>
      <c r="AV196" s="429" t="str">
        <f>IF(AS196="","",AS196*'Tabella Carichi Unitari'!$C$12)</f>
        <v/>
      </c>
      <c r="AW196" s="109" t="str">
        <f>IF(AS196="","",AS196*'Tabella Carichi Unitari'!$K$12)</f>
        <v/>
      </c>
      <c r="AX196" s="430"/>
      <c r="AY196" s="429" t="str">
        <f>IF(AX196="","",AX196*'Tabella Carichi Unitari'!$G$12)</f>
        <v/>
      </c>
      <c r="AZ196" s="429" t="str">
        <f>IF(AX196="","",AX196*'Tabella Carichi Unitari'!$H$12)</f>
        <v/>
      </c>
      <c r="BA196" s="429" t="str">
        <f>IF(AX196="","",AX196*'Tabella Carichi Unitari'!$C$12)</f>
        <v/>
      </c>
      <c r="BB196" s="109" t="str">
        <f>IF(AX196="","",AX196*'Tabella Carichi Unitari'!$K$12)</f>
        <v/>
      </c>
    </row>
    <row r="197" spans="1:54" x14ac:dyDescent="0.25">
      <c r="A197" s="136" t="s">
        <v>391</v>
      </c>
      <c r="B197" s="416"/>
      <c r="C197" s="415" t="str">
        <f>IF(B197="","",B197*'Tabella Carichi Unitari'!$G$15)</f>
        <v/>
      </c>
      <c r="D197" s="415" t="str">
        <f>IF(B197="","",B197*'Tabella Carichi Unitari'!$H$15)</f>
        <v/>
      </c>
      <c r="E197" s="415" t="str">
        <f>IF(B197="","",B197*'Tabella Carichi Unitari'!$C$15)</f>
        <v/>
      </c>
      <c r="F197" s="109" t="str">
        <f>IF(B197="","",B197*'Tabella Carichi Unitari'!$K$15)</f>
        <v/>
      </c>
      <c r="G197" s="416"/>
      <c r="H197" s="415" t="str">
        <f>IF(G197="","",G197*'Tabella Carichi Unitari'!$G$14)</f>
        <v/>
      </c>
      <c r="I197" s="415" t="str">
        <f>IF(G197="","",G197*'Tabella Carichi Unitari'!$H$14)</f>
        <v/>
      </c>
      <c r="J197" s="415" t="str">
        <f>IF(G197="","",G197*'Tabella Carichi Unitari'!$C$14)</f>
        <v/>
      </c>
      <c r="K197" s="109" t="str">
        <f>IF(G197="","",G197*'Tabella Carichi Unitari'!$K$14)</f>
        <v/>
      </c>
      <c r="L197" s="416"/>
      <c r="M197" s="415" t="str">
        <f>IF(L197="","",L197*'Tabella Carichi Unitari'!$G$13)</f>
        <v/>
      </c>
      <c r="N197" s="415" t="str">
        <f>IF(L197="","",L197*'Tabella Carichi Unitari'!$H$13)</f>
        <v/>
      </c>
      <c r="O197" s="415" t="str">
        <f>IF(L197="","",L197*'Tabella Carichi Unitari'!$C$13)</f>
        <v/>
      </c>
      <c r="P197" s="109" t="str">
        <f>IF(L197="","",L197*'Tabella Carichi Unitari'!$K$13)</f>
        <v/>
      </c>
      <c r="Q197" s="416"/>
      <c r="R197" s="415" t="str">
        <f>IF(Q197="","",Q197*'Tabella Carichi Unitari'!$G$13)</f>
        <v/>
      </c>
      <c r="S197" s="415" t="str">
        <f>IF(Q197="","",Q197*'Tabella Carichi Unitari'!$H$13)</f>
        <v/>
      </c>
      <c r="T197" s="415" t="str">
        <f>IF(Q197="","",Q197*'Tabella Carichi Unitari'!$C$13)</f>
        <v/>
      </c>
      <c r="U197" s="109" t="str">
        <f>IF(Q197="","",Q197*'Tabella Carichi Unitari'!$K$13)</f>
        <v/>
      </c>
      <c r="V197" s="416"/>
      <c r="W197" s="415" t="str">
        <f>IF(V197="","",V197*'Tabella Carichi Unitari'!$G$13)</f>
        <v/>
      </c>
      <c r="X197" s="415" t="str">
        <f>IF(V197="","",V197*'Tabella Carichi Unitari'!$H$13)</f>
        <v/>
      </c>
      <c r="Y197" s="415" t="str">
        <f>IF(V197="","",V197*'Tabella Carichi Unitari'!$C$13)</f>
        <v/>
      </c>
      <c r="Z197" s="109" t="str">
        <f>IF(V197="","",V197*'Tabella Carichi Unitari'!$K$13)</f>
        <v/>
      </c>
      <c r="AB197" s="416"/>
      <c r="AC197" s="136" t="s">
        <v>391</v>
      </c>
      <c r="AD197" s="430"/>
      <c r="AE197" s="429" t="str">
        <f>IF(AD197="","",AD197*'Tabella Carichi Unitari'!$G$15)</f>
        <v/>
      </c>
      <c r="AF197" s="429" t="str">
        <f>IF(AD197="","",AD197*'Tabella Carichi Unitari'!$H$15)</f>
        <v/>
      </c>
      <c r="AG197" s="429" t="str">
        <f>IF(AD197="","",AD197*'Tabella Carichi Unitari'!$C$15)</f>
        <v/>
      </c>
      <c r="AH197" s="109" t="str">
        <f>IF(AD197="","",AD197*'Tabella Carichi Unitari'!$K$15)</f>
        <v/>
      </c>
      <c r="AI197" s="430"/>
      <c r="AJ197" s="429" t="str">
        <f>IF(AI197="","",AI197*'Tabella Carichi Unitari'!$G$14)</f>
        <v/>
      </c>
      <c r="AK197" s="429" t="str">
        <f>IF(AI197="","",AI197*'Tabella Carichi Unitari'!$H$14)</f>
        <v/>
      </c>
      <c r="AL197" s="429" t="str">
        <f>IF(AI197="","",AI197*'Tabella Carichi Unitari'!$C$14)</f>
        <v/>
      </c>
      <c r="AM197" s="109" t="str">
        <f>IF(AI197="","",AI197*'Tabella Carichi Unitari'!$K$14)</f>
        <v/>
      </c>
      <c r="AN197" s="430"/>
      <c r="AO197" s="429" t="str">
        <f>IF(AN197="","",AN197*'Tabella Carichi Unitari'!$G$13)</f>
        <v/>
      </c>
      <c r="AP197" s="429" t="str">
        <f>IF(AN197="","",AN197*'Tabella Carichi Unitari'!$H$13)</f>
        <v/>
      </c>
      <c r="AQ197" s="429" t="str">
        <f>IF(AN197="","",AN197*'Tabella Carichi Unitari'!$C$13)</f>
        <v/>
      </c>
      <c r="AR197" s="109" t="str">
        <f>IF(AN197="","",AN197*'Tabella Carichi Unitari'!$K$13)</f>
        <v/>
      </c>
      <c r="AS197" s="430"/>
      <c r="AT197" s="429" t="str">
        <f>IF(AS197="","",AS197*'Tabella Carichi Unitari'!$G$13)</f>
        <v/>
      </c>
      <c r="AU197" s="429" t="str">
        <f>IF(AS197="","",AS197*'Tabella Carichi Unitari'!$H$13)</f>
        <v/>
      </c>
      <c r="AV197" s="429" t="str">
        <f>IF(AS197="","",AS197*'Tabella Carichi Unitari'!$C$13)</f>
        <v/>
      </c>
      <c r="AW197" s="109" t="str">
        <f>IF(AS197="","",AS197*'Tabella Carichi Unitari'!$K$13)</f>
        <v/>
      </c>
      <c r="AX197" s="430"/>
      <c r="AY197" s="429" t="str">
        <f>IF(AX197="","",AX197*'Tabella Carichi Unitari'!$G$13)</f>
        <v/>
      </c>
      <c r="AZ197" s="429" t="str">
        <f>IF(AX197="","",AX197*'Tabella Carichi Unitari'!$H$13)</f>
        <v/>
      </c>
      <c r="BA197" s="429" t="str">
        <f>IF(AX197="","",AX197*'Tabella Carichi Unitari'!$C$13)</f>
        <v/>
      </c>
      <c r="BB197" s="109" t="str">
        <f>IF(AX197="","",AX197*'Tabella Carichi Unitari'!$K$13)</f>
        <v/>
      </c>
    </row>
    <row r="198" spans="1:54" x14ac:dyDescent="0.25">
      <c r="A198" s="136" t="s">
        <v>392</v>
      </c>
      <c r="B198" s="416">
        <v>1</v>
      </c>
      <c r="C198" s="415">
        <f>IF(B198="","",B198*'Tabella Carichi Unitari'!$G$16)</f>
        <v>6.1932000000000009</v>
      </c>
      <c r="D198" s="415">
        <f>IF(B198="","",B198*'Tabella Carichi Unitari'!$H$16)</f>
        <v>0</v>
      </c>
      <c r="E198" s="415">
        <f>IF(B198="","",B198*'Tabella Carichi Unitari'!$C$16)</f>
        <v>4.7640000000000002</v>
      </c>
      <c r="F198" s="109">
        <f>IF(B198="","",B198*'Tabella Carichi Unitari'!$K$16)</f>
        <v>0</v>
      </c>
      <c r="G198" s="416">
        <v>1</v>
      </c>
      <c r="H198" s="415">
        <f>IF(G198="","",G198*'Tabella Carichi Unitari'!$G$16)</f>
        <v>6.1932000000000009</v>
      </c>
      <c r="I198" s="415">
        <f>IF(G198="","",G198*'Tabella Carichi Unitari'!$H$16)</f>
        <v>0</v>
      </c>
      <c r="J198" s="415">
        <f>IF(G198="","",G198*'Tabella Carichi Unitari'!$C$16)</f>
        <v>4.7640000000000002</v>
      </c>
      <c r="K198" s="109">
        <f>IF(G198="","",G198*'Tabella Carichi Unitari'!$K$16)</f>
        <v>0</v>
      </c>
      <c r="L198" s="416">
        <v>1</v>
      </c>
      <c r="M198" s="415">
        <f>IF(L198="","",L198*'Tabella Carichi Unitari'!$G$16)</f>
        <v>6.1932000000000009</v>
      </c>
      <c r="N198" s="415">
        <f>IF(L198="","",L198*'Tabella Carichi Unitari'!$H$16)</f>
        <v>0</v>
      </c>
      <c r="O198" s="415">
        <f>IF(L198="","",L198*'Tabella Carichi Unitari'!$C$16)</f>
        <v>4.7640000000000002</v>
      </c>
      <c r="P198" s="109">
        <f>IF(L198="","",L198*'Tabella Carichi Unitari'!$K$16)</f>
        <v>0</v>
      </c>
      <c r="Q198" s="416">
        <v>1</v>
      </c>
      <c r="R198" s="415">
        <f>IF(Q198="","",Q198*'Tabella Carichi Unitari'!$G$16)</f>
        <v>6.1932000000000009</v>
      </c>
      <c r="S198" s="415">
        <f>IF(Q198="","",Q198*'Tabella Carichi Unitari'!$H$16)</f>
        <v>0</v>
      </c>
      <c r="T198" s="415">
        <f>IF(Q198="","",Q198*'Tabella Carichi Unitari'!$C$16)</f>
        <v>4.7640000000000002</v>
      </c>
      <c r="U198" s="109">
        <f>IF(Q198="","",Q198*'Tabella Carichi Unitari'!$K$16)</f>
        <v>0</v>
      </c>
      <c r="V198" s="416">
        <v>1</v>
      </c>
      <c r="W198" s="415">
        <f>IF(V198="","",V198*'Tabella Carichi Unitari'!$G$16)</f>
        <v>6.1932000000000009</v>
      </c>
      <c r="X198" s="415">
        <f>IF(V198="","",V198*'Tabella Carichi Unitari'!$H$16)</f>
        <v>0</v>
      </c>
      <c r="Y198" s="415">
        <f>IF(V198="","",V198*'Tabella Carichi Unitari'!$C$16)</f>
        <v>4.7640000000000002</v>
      </c>
      <c r="Z198" s="109">
        <f>IF(V198="","",V198*'Tabella Carichi Unitari'!$K$16)</f>
        <v>0</v>
      </c>
      <c r="AB198" s="416"/>
      <c r="AC198" s="136" t="s">
        <v>392</v>
      </c>
      <c r="AD198" s="430">
        <v>1</v>
      </c>
      <c r="AE198" s="429">
        <f>IF(AD198="","",AD198*'Tabella Carichi Unitari'!$G$16)</f>
        <v>6.1932000000000009</v>
      </c>
      <c r="AF198" s="429">
        <f>IF(AD198="","",AD198*'Tabella Carichi Unitari'!$H$16)</f>
        <v>0</v>
      </c>
      <c r="AG198" s="429">
        <f>IF(AD198="","",AD198*'Tabella Carichi Unitari'!$C$16)</f>
        <v>4.7640000000000002</v>
      </c>
      <c r="AH198" s="109">
        <f>IF(AD198="","",AD198*'Tabella Carichi Unitari'!$K$16)</f>
        <v>0</v>
      </c>
      <c r="AI198" s="430">
        <v>1</v>
      </c>
      <c r="AJ198" s="429">
        <f>IF(AI198="","",AI198*'Tabella Carichi Unitari'!$G$16)</f>
        <v>6.1932000000000009</v>
      </c>
      <c r="AK198" s="429">
        <f>IF(AI198="","",AI198*'Tabella Carichi Unitari'!$H$16)</f>
        <v>0</v>
      </c>
      <c r="AL198" s="429">
        <f>IF(AI198="","",AI198*'Tabella Carichi Unitari'!$C$16)</f>
        <v>4.7640000000000002</v>
      </c>
      <c r="AM198" s="109">
        <f>IF(AI198="","",AI198*'Tabella Carichi Unitari'!$K$16)</f>
        <v>0</v>
      </c>
      <c r="AN198" s="430">
        <v>1</v>
      </c>
      <c r="AO198" s="429">
        <f>IF(AN198="","",AN198*'Tabella Carichi Unitari'!$G$16)</f>
        <v>6.1932000000000009</v>
      </c>
      <c r="AP198" s="429">
        <f>IF(AN198="","",AN198*'Tabella Carichi Unitari'!$H$16)</f>
        <v>0</v>
      </c>
      <c r="AQ198" s="429">
        <f>IF(AN198="","",AN198*'Tabella Carichi Unitari'!$C$16)</f>
        <v>4.7640000000000002</v>
      </c>
      <c r="AR198" s="109">
        <f>IF(AN198="","",AN198*'Tabella Carichi Unitari'!$K$16)</f>
        <v>0</v>
      </c>
      <c r="AS198" s="430">
        <v>1</v>
      </c>
      <c r="AT198" s="429">
        <f>IF(AS198="","",AS198*'Tabella Carichi Unitari'!$G$16)</f>
        <v>6.1932000000000009</v>
      </c>
      <c r="AU198" s="429">
        <f>IF(AS198="","",AS198*'Tabella Carichi Unitari'!$H$16)</f>
        <v>0</v>
      </c>
      <c r="AV198" s="429">
        <f>IF(AS198="","",AS198*'Tabella Carichi Unitari'!$C$16)</f>
        <v>4.7640000000000002</v>
      </c>
      <c r="AW198" s="109">
        <f>IF(AS198="","",AS198*'Tabella Carichi Unitari'!$K$16)</f>
        <v>0</v>
      </c>
      <c r="AX198" s="430">
        <v>1</v>
      </c>
      <c r="AY198" s="429">
        <f>IF(AX198="","",AX198*'Tabella Carichi Unitari'!$G$16)</f>
        <v>6.1932000000000009</v>
      </c>
      <c r="AZ198" s="429">
        <f>IF(AX198="","",AX198*'Tabella Carichi Unitari'!$H$16)</f>
        <v>0</v>
      </c>
      <c r="BA198" s="429">
        <f>IF(AX198="","",AX198*'Tabella Carichi Unitari'!$C$16)</f>
        <v>4.7640000000000002</v>
      </c>
      <c r="BB198" s="109">
        <f>IF(AX198="","",AX198*'Tabella Carichi Unitari'!$K$16)</f>
        <v>0</v>
      </c>
    </row>
    <row r="199" spans="1:54" x14ac:dyDescent="0.25">
      <c r="A199" s="136" t="s">
        <v>313</v>
      </c>
      <c r="B199" s="416"/>
      <c r="C199" s="168" t="str">
        <f>IF(B199="","",B199*'Tabella Carichi Unitari'!$G$17)</f>
        <v/>
      </c>
      <c r="D199" s="168" t="str">
        <f>IF(B199="","",B199*'Tabella Carichi Unitari'!$H$17)</f>
        <v/>
      </c>
      <c r="E199" s="168" t="str">
        <f>IF(B199="","",B199*'Tabella Carichi Unitari'!$C$17)</f>
        <v/>
      </c>
      <c r="F199" s="110" t="str">
        <f>IF(B199="","",B199*'Tabella Carichi Unitari'!$K$17)</f>
        <v/>
      </c>
      <c r="G199" s="416"/>
      <c r="H199" s="168" t="str">
        <f>IF(G199="","",G199*'Tabella Carichi Unitari'!$G$17)</f>
        <v/>
      </c>
      <c r="I199" s="168" t="str">
        <f>IF(G199="","",G199*'Tabella Carichi Unitari'!$H$17)</f>
        <v/>
      </c>
      <c r="J199" s="168" t="str">
        <f>IF(G199="","",G199*'Tabella Carichi Unitari'!$C$17)</f>
        <v/>
      </c>
      <c r="K199" s="110" t="str">
        <f>IF(G199="","",G199*'Tabella Carichi Unitari'!$K$17)</f>
        <v/>
      </c>
      <c r="L199" s="416"/>
      <c r="M199" s="168" t="str">
        <f>IF(L199="","",L199*'Tabella Carichi Unitari'!$G$17)</f>
        <v/>
      </c>
      <c r="N199" s="168" t="str">
        <f>IF(L199="","",L199*'Tabella Carichi Unitari'!$H$17)</f>
        <v/>
      </c>
      <c r="O199" s="168" t="str">
        <f>IF(L199="","",L199*'Tabella Carichi Unitari'!$C$17)</f>
        <v/>
      </c>
      <c r="P199" s="110" t="str">
        <f>IF(L199="","",L199*'Tabella Carichi Unitari'!$K$17)</f>
        <v/>
      </c>
      <c r="Q199" s="416"/>
      <c r="R199" s="168" t="str">
        <f>IF(Q199="","",Q199*'Tabella Carichi Unitari'!$G$17)</f>
        <v/>
      </c>
      <c r="S199" s="168" t="str">
        <f>IF(Q199="","",Q199*'Tabella Carichi Unitari'!$H$17)</f>
        <v/>
      </c>
      <c r="T199" s="168" t="str">
        <f>IF(Q199="","",Q199*'Tabella Carichi Unitari'!$C$17)</f>
        <v/>
      </c>
      <c r="U199" s="110" t="str">
        <f>IF(Q199="","",Q199*'Tabella Carichi Unitari'!$K$17)</f>
        <v/>
      </c>
      <c r="V199" s="416"/>
      <c r="W199" s="168" t="str">
        <f>IF(V199="","",V199*'Tabella Carichi Unitari'!$G$17)</f>
        <v/>
      </c>
      <c r="X199" s="168" t="str">
        <f>IF(V199="","",V199*'Tabella Carichi Unitari'!$H$17)</f>
        <v/>
      </c>
      <c r="Y199" s="168" t="str">
        <f>IF(V199="","",V199*'Tabella Carichi Unitari'!$C$17)</f>
        <v/>
      </c>
      <c r="Z199" s="110" t="str">
        <f>IF(V199="","",V199*'Tabella Carichi Unitari'!$K$17)</f>
        <v/>
      </c>
      <c r="AB199" s="416"/>
      <c r="AC199" s="136" t="s">
        <v>313</v>
      </c>
      <c r="AD199" s="430"/>
      <c r="AE199" s="168" t="str">
        <f>IF(AD199="","",AD199*'Tabella Carichi Unitari'!$G$17)</f>
        <v/>
      </c>
      <c r="AF199" s="168" t="str">
        <f>IF(AD199="","",AD199*'Tabella Carichi Unitari'!$H$17)</f>
        <v/>
      </c>
      <c r="AG199" s="168" t="str">
        <f>IF(AD199="","",AD199*'Tabella Carichi Unitari'!$C$17)</f>
        <v/>
      </c>
      <c r="AH199" s="110" t="str">
        <f>IF(AD199="","",AD199*'Tabella Carichi Unitari'!$K$17)</f>
        <v/>
      </c>
      <c r="AI199" s="430"/>
      <c r="AJ199" s="168" t="str">
        <f>IF(AI199="","",AI199*'Tabella Carichi Unitari'!$G$17)</f>
        <v/>
      </c>
      <c r="AK199" s="168" t="str">
        <f>IF(AI199="","",AI199*'Tabella Carichi Unitari'!$H$17)</f>
        <v/>
      </c>
      <c r="AL199" s="168" t="str">
        <f>IF(AI199="","",AI199*'Tabella Carichi Unitari'!$C$17)</f>
        <v/>
      </c>
      <c r="AM199" s="110" t="str">
        <f>IF(AI199="","",AI199*'Tabella Carichi Unitari'!$K$17)</f>
        <v/>
      </c>
      <c r="AN199" s="430"/>
      <c r="AO199" s="168" t="str">
        <f>IF(AN199="","",AN199*'Tabella Carichi Unitari'!$G$17)</f>
        <v/>
      </c>
      <c r="AP199" s="168" t="str">
        <f>IF(AN199="","",AN199*'Tabella Carichi Unitari'!$H$17)</f>
        <v/>
      </c>
      <c r="AQ199" s="168" t="str">
        <f>IF(AN199="","",AN199*'Tabella Carichi Unitari'!$C$17)</f>
        <v/>
      </c>
      <c r="AR199" s="110" t="str">
        <f>IF(AN199="","",AN199*'Tabella Carichi Unitari'!$K$17)</f>
        <v/>
      </c>
      <c r="AS199" s="430"/>
      <c r="AT199" s="168" t="str">
        <f>IF(AS199="","",AS199*'Tabella Carichi Unitari'!$G$17)</f>
        <v/>
      </c>
      <c r="AU199" s="168" t="str">
        <f>IF(AS199="","",AS199*'Tabella Carichi Unitari'!$H$17)</f>
        <v/>
      </c>
      <c r="AV199" s="168" t="str">
        <f>IF(AS199="","",AS199*'Tabella Carichi Unitari'!$C$17)</f>
        <v/>
      </c>
      <c r="AW199" s="110" t="str">
        <f>IF(AS199="","",AS199*'Tabella Carichi Unitari'!$K$17)</f>
        <v/>
      </c>
      <c r="AX199" s="430"/>
      <c r="AY199" s="168" t="str">
        <f>IF(AX199="","",AX199*'Tabella Carichi Unitari'!$G$17)</f>
        <v/>
      </c>
      <c r="AZ199" s="168" t="str">
        <f>IF(AX199="","",AX199*'Tabella Carichi Unitari'!$H$17)</f>
        <v/>
      </c>
      <c r="BA199" s="168" t="str">
        <f>IF(AX199="","",AX199*'Tabella Carichi Unitari'!$C$17)</f>
        <v/>
      </c>
      <c r="BB199" s="110" t="str">
        <f>IF(AX199="","",AX199*'Tabella Carichi Unitari'!$K$17)</f>
        <v/>
      </c>
    </row>
    <row r="200" spans="1:54" x14ac:dyDescent="0.25">
      <c r="A200" s="136"/>
      <c r="B200" s="416"/>
      <c r="C200" s="415">
        <f>SUM(C194:C199)</f>
        <v>11.3932</v>
      </c>
      <c r="D200" s="415">
        <f t="shared" ref="D200" si="170">SUM(D194:D199)</f>
        <v>3</v>
      </c>
      <c r="E200" s="415">
        <f t="shared" ref="E200" si="171">SUM(E194:E199)</f>
        <v>8.7639999999999993</v>
      </c>
      <c r="F200" s="415">
        <f t="shared" ref="F200" si="172">SUM(F194:F199)</f>
        <v>0.6</v>
      </c>
      <c r="G200" s="415"/>
      <c r="H200" s="415">
        <f t="shared" ref="H200" si="173">SUM(H194:H199)</f>
        <v>11.205480000000001</v>
      </c>
      <c r="I200" s="415">
        <f t="shared" ref="I200" si="174">SUM(I194:I199)</f>
        <v>4.8</v>
      </c>
      <c r="J200" s="415">
        <f t="shared" ref="J200" si="175">SUM(J194:J199)</f>
        <v>8.6196000000000002</v>
      </c>
      <c r="K200" s="415">
        <f t="shared" ref="K200" si="176">SUM(K194:K199)</f>
        <v>1.7999999999999998</v>
      </c>
      <c r="L200" s="415"/>
      <c r="M200" s="415">
        <f t="shared" ref="M200" si="177">SUM(M194:M199)</f>
        <v>11.205480000000001</v>
      </c>
      <c r="N200" s="415">
        <f t="shared" ref="N200" si="178">SUM(N194:N199)</f>
        <v>4.8</v>
      </c>
      <c r="O200" s="415">
        <f t="shared" ref="O200" si="179">SUM(O194:O199)</f>
        <v>8.6196000000000002</v>
      </c>
      <c r="P200" s="415">
        <f t="shared" ref="P200" si="180">SUM(P194:P199)</f>
        <v>1.7999999999999998</v>
      </c>
      <c r="Q200" s="415"/>
      <c r="R200" s="415">
        <f t="shared" ref="R200" si="181">SUM(R194:R199)</f>
        <v>11.205480000000001</v>
      </c>
      <c r="S200" s="415">
        <f t="shared" ref="S200" si="182">SUM(S194:S199)</f>
        <v>4.8</v>
      </c>
      <c r="T200" s="415">
        <f t="shared" ref="T200" si="183">SUM(T194:T199)</f>
        <v>8.6196000000000002</v>
      </c>
      <c r="U200" s="415">
        <f t="shared" ref="U200" si="184">SUM(U194:U199)</f>
        <v>1.7999999999999998</v>
      </c>
      <c r="V200" s="415"/>
      <c r="W200" s="415">
        <f t="shared" ref="W200" si="185">SUM(W194:W199)</f>
        <v>11.205480000000001</v>
      </c>
      <c r="X200" s="415">
        <f t="shared" ref="X200" si="186">SUM(X194:X199)</f>
        <v>4.8</v>
      </c>
      <c r="Y200" s="415">
        <f t="shared" ref="Y200" si="187">SUM(Y194:Y199)</f>
        <v>8.6196000000000002</v>
      </c>
      <c r="Z200" s="415">
        <f t="shared" ref="Z200" si="188">SUM(Z194:Z199)</f>
        <v>1.7999999999999998</v>
      </c>
      <c r="AB200" s="416"/>
      <c r="AC200" s="136"/>
      <c r="AD200" s="430"/>
      <c r="AE200" s="429">
        <f>SUM(AE194:AE199)</f>
        <v>29.944200000000002</v>
      </c>
      <c r="AF200" s="429">
        <f t="shared" ref="AF200:AH200" si="189">SUM(AF194:AF199)</f>
        <v>13.702500000000001</v>
      </c>
      <c r="AG200" s="429">
        <f t="shared" si="189"/>
        <v>23.033999999999999</v>
      </c>
      <c r="AH200" s="429">
        <f t="shared" si="189"/>
        <v>2.7404999999999999</v>
      </c>
      <c r="AI200" s="429"/>
      <c r="AJ200" s="429">
        <f t="shared" ref="AJ200:AM200" si="190">SUM(AJ194:AJ199)</f>
        <v>29.086788899999998</v>
      </c>
      <c r="AK200" s="429">
        <f t="shared" si="190"/>
        <v>21.923999999999999</v>
      </c>
      <c r="AL200" s="429">
        <f t="shared" si="190"/>
        <v>22.374452999999995</v>
      </c>
      <c r="AM200" s="429">
        <f t="shared" si="190"/>
        <v>8.2214999999999989</v>
      </c>
      <c r="AN200" s="429"/>
      <c r="AO200" s="429">
        <f t="shared" ref="AO200:AR200" si="191">SUM(AO194:AO199)</f>
        <v>29.086788899999998</v>
      </c>
      <c r="AP200" s="429">
        <f t="shared" si="191"/>
        <v>21.923999999999999</v>
      </c>
      <c r="AQ200" s="429">
        <f t="shared" si="191"/>
        <v>22.374452999999995</v>
      </c>
      <c r="AR200" s="429">
        <f t="shared" si="191"/>
        <v>8.2214999999999989</v>
      </c>
      <c r="AS200" s="429"/>
      <c r="AT200" s="429">
        <f t="shared" ref="AT200:AW200" si="192">SUM(AT194:AT199)</f>
        <v>29.086788899999998</v>
      </c>
      <c r="AU200" s="429">
        <f t="shared" si="192"/>
        <v>21.923999999999999</v>
      </c>
      <c r="AV200" s="429">
        <f t="shared" si="192"/>
        <v>22.374452999999995</v>
      </c>
      <c r="AW200" s="429">
        <f t="shared" si="192"/>
        <v>8.2214999999999989</v>
      </c>
      <c r="AX200" s="429"/>
      <c r="AY200" s="429">
        <f t="shared" ref="AY200:BB200" si="193">SUM(AY194:AY199)</f>
        <v>29.086788899999998</v>
      </c>
      <c r="AZ200" s="429">
        <f t="shared" si="193"/>
        <v>21.923999999999999</v>
      </c>
      <c r="BA200" s="429">
        <f t="shared" si="193"/>
        <v>22.374452999999995</v>
      </c>
      <c r="BB200" s="429">
        <f t="shared" si="193"/>
        <v>8.2214999999999989</v>
      </c>
    </row>
    <row r="201" spans="1:54" x14ac:dyDescent="0.25">
      <c r="B201" s="416"/>
      <c r="C201" s="612">
        <f>C200+D200</f>
        <v>14.3932</v>
      </c>
      <c r="D201" s="612"/>
      <c r="E201" s="612">
        <f>E200+F200</f>
        <v>9.363999999999999</v>
      </c>
      <c r="F201" s="612"/>
      <c r="G201" s="416"/>
      <c r="H201" s="612">
        <f>H200+I200</f>
        <v>16.005480000000002</v>
      </c>
      <c r="I201" s="612"/>
      <c r="J201" s="612">
        <f>J200+K200</f>
        <v>10.419599999999999</v>
      </c>
      <c r="K201" s="612"/>
      <c r="L201" s="416"/>
      <c r="M201" s="612">
        <f>M200+N200</f>
        <v>16.005480000000002</v>
      </c>
      <c r="N201" s="612"/>
      <c r="O201" s="612">
        <f>O200+P200</f>
        <v>10.419599999999999</v>
      </c>
      <c r="P201" s="612"/>
      <c r="Q201" s="416"/>
      <c r="R201" s="612">
        <f>R200+S200</f>
        <v>16.005480000000002</v>
      </c>
      <c r="S201" s="612"/>
      <c r="T201" s="612">
        <f>T200+U200</f>
        <v>10.419599999999999</v>
      </c>
      <c r="U201" s="612"/>
      <c r="V201" s="416"/>
      <c r="W201" s="612">
        <f>W200+X200</f>
        <v>16.005480000000002</v>
      </c>
      <c r="X201" s="612"/>
      <c r="Y201" s="612">
        <f>Y200+Z200</f>
        <v>10.419599999999999</v>
      </c>
      <c r="Z201" s="612"/>
      <c r="AB201" s="416"/>
      <c r="AC201"/>
      <c r="AD201" s="430"/>
      <c r="AE201" s="612">
        <f>AE200+AF200</f>
        <v>43.646700000000003</v>
      </c>
      <c r="AF201" s="612"/>
      <c r="AG201" s="612">
        <f>AG200+AH200</f>
        <v>25.7745</v>
      </c>
      <c r="AH201" s="612"/>
      <c r="AI201" s="430"/>
      <c r="AJ201" s="612">
        <f>AJ200+AK200</f>
        <v>51.010788899999994</v>
      </c>
      <c r="AK201" s="612"/>
      <c r="AL201" s="612">
        <f>AL200+AM200</f>
        <v>30.595952999999994</v>
      </c>
      <c r="AM201" s="612"/>
      <c r="AN201" s="430"/>
      <c r="AO201" s="612">
        <f>AO200+AP200</f>
        <v>51.010788899999994</v>
      </c>
      <c r="AP201" s="612"/>
      <c r="AQ201" s="612">
        <f>AQ200+AR200</f>
        <v>30.595952999999994</v>
      </c>
      <c r="AR201" s="612"/>
      <c r="AS201" s="430"/>
      <c r="AT201" s="612">
        <f>AT200+AU200</f>
        <v>51.010788899999994</v>
      </c>
      <c r="AU201" s="612"/>
      <c r="AV201" s="612">
        <f>AV200+AW200</f>
        <v>30.595952999999994</v>
      </c>
      <c r="AW201" s="612"/>
      <c r="AX201" s="430"/>
      <c r="AY201" s="612">
        <f>AY200+AZ200</f>
        <v>51.010788899999994</v>
      </c>
      <c r="AZ201" s="612"/>
      <c r="BA201" s="612">
        <f>BA200+BB200</f>
        <v>30.595952999999994</v>
      </c>
      <c r="BB201" s="612"/>
    </row>
    <row r="202" spans="1:54" x14ac:dyDescent="0.25">
      <c r="B202" s="416"/>
      <c r="G202" s="416"/>
      <c r="L202" s="416"/>
      <c r="Q202" s="416"/>
      <c r="V202" s="416"/>
      <c r="AB202" s="416"/>
      <c r="AC202" s="430"/>
      <c r="AD202" s="430"/>
      <c r="AE202" s="430"/>
      <c r="AF202" s="430"/>
      <c r="AG202" s="430"/>
      <c r="AH202" s="430"/>
      <c r="AI202" s="430"/>
      <c r="AJ202" s="430"/>
      <c r="AK202" s="430"/>
      <c r="AL202" s="430"/>
      <c r="AM202" s="430"/>
      <c r="AN202" s="430"/>
      <c r="AO202" s="430"/>
      <c r="AP202" s="430"/>
      <c r="AQ202" s="430"/>
      <c r="AR202" s="430"/>
      <c r="AS202" s="430"/>
      <c r="AT202" s="430"/>
      <c r="AU202" s="430"/>
      <c r="AV202" s="430"/>
      <c r="AW202" s="430"/>
    </row>
    <row r="203" spans="1:54" x14ac:dyDescent="0.25">
      <c r="B203" s="416"/>
      <c r="G203" s="416"/>
      <c r="L203" s="416"/>
      <c r="Q203" s="416"/>
      <c r="V203" s="416"/>
      <c r="AB203" s="416"/>
      <c r="AC203" s="430"/>
      <c r="AD203" s="430"/>
      <c r="AE203" s="430"/>
      <c r="AF203" s="430"/>
      <c r="AG203" s="430"/>
      <c r="AH203" s="430"/>
      <c r="AI203" s="430"/>
      <c r="AJ203" s="430"/>
      <c r="AK203" s="430"/>
      <c r="AL203" s="430"/>
      <c r="AM203" s="430"/>
      <c r="AN203" s="430"/>
      <c r="AO203" s="430"/>
      <c r="AP203" s="430"/>
      <c r="AQ203" s="430"/>
      <c r="AR203" s="430"/>
      <c r="AS203" s="430"/>
      <c r="AT203" s="430"/>
      <c r="AU203" s="430"/>
      <c r="AV203" s="430"/>
      <c r="AW203" s="430"/>
    </row>
    <row r="204" spans="1:54" x14ac:dyDescent="0.25">
      <c r="A204" s="403" t="s">
        <v>393</v>
      </c>
      <c r="B204" s="416"/>
      <c r="C204" t="s">
        <v>399</v>
      </c>
      <c r="G204" s="416"/>
      <c r="H204" t="s">
        <v>400</v>
      </c>
      <c r="L204" s="416"/>
      <c r="M204" t="s">
        <v>401</v>
      </c>
      <c r="Q204" s="416"/>
      <c r="R204" t="s">
        <v>232</v>
      </c>
      <c r="V204" s="416"/>
      <c r="W204" t="s">
        <v>402</v>
      </c>
      <c r="AB204" s="416"/>
      <c r="AC204" s="403" t="s">
        <v>393</v>
      </c>
      <c r="AD204" s="430"/>
      <c r="AE204" t="s">
        <v>399</v>
      </c>
      <c r="AF204"/>
      <c r="AG204"/>
      <c r="AH204"/>
      <c r="AI204" s="430"/>
      <c r="AJ204" t="s">
        <v>400</v>
      </c>
      <c r="AK204"/>
      <c r="AL204"/>
      <c r="AM204"/>
      <c r="AN204" s="430"/>
      <c r="AO204" t="s">
        <v>401</v>
      </c>
      <c r="AP204"/>
      <c r="AQ204"/>
      <c r="AR204"/>
      <c r="AS204" s="430"/>
      <c r="AT204" t="s">
        <v>232</v>
      </c>
      <c r="AU204"/>
      <c r="AV204"/>
      <c r="AW204"/>
      <c r="AX204" s="430"/>
      <c r="AY204" t="s">
        <v>402</v>
      </c>
    </row>
    <row r="205" spans="1:54" x14ac:dyDescent="0.25">
      <c r="A205" s="425" t="s">
        <v>423</v>
      </c>
      <c r="B205" s="416"/>
      <c r="G205" s="416"/>
      <c r="L205" s="416"/>
      <c r="Q205" s="416"/>
      <c r="V205" s="416"/>
      <c r="AB205" s="416"/>
      <c r="AC205" s="404" t="s">
        <v>447</v>
      </c>
      <c r="AD205" s="430"/>
      <c r="AE205"/>
      <c r="AF205"/>
      <c r="AG205"/>
      <c r="AH205"/>
      <c r="AI205" s="430"/>
      <c r="AJ205"/>
      <c r="AK205"/>
      <c r="AL205"/>
      <c r="AM205"/>
      <c r="AN205" s="430"/>
      <c r="AO205"/>
      <c r="AP205"/>
      <c r="AQ205"/>
      <c r="AR205"/>
      <c r="AS205" s="430"/>
      <c r="AT205"/>
      <c r="AU205"/>
      <c r="AV205"/>
      <c r="AW205"/>
      <c r="AX205" s="430"/>
    </row>
    <row r="206" spans="1:54" x14ac:dyDescent="0.25">
      <c r="A206" s="136"/>
      <c r="B206" s="416"/>
      <c r="C206" s="416" t="s">
        <v>386</v>
      </c>
      <c r="D206" s="416" t="s">
        <v>396</v>
      </c>
      <c r="E206" s="416" t="s">
        <v>288</v>
      </c>
      <c r="F206" s="411" t="s">
        <v>406</v>
      </c>
      <c r="G206" s="412"/>
      <c r="H206" s="416" t="s">
        <v>386</v>
      </c>
      <c r="I206" s="416" t="s">
        <v>396</v>
      </c>
      <c r="J206" s="416" t="s">
        <v>288</v>
      </c>
      <c r="K206" s="411" t="s">
        <v>407</v>
      </c>
      <c r="L206" s="412"/>
      <c r="M206" s="416" t="s">
        <v>386</v>
      </c>
      <c r="N206" s="416" t="s">
        <v>396</v>
      </c>
      <c r="O206" s="416" t="s">
        <v>288</v>
      </c>
      <c r="P206" s="411" t="s">
        <v>407</v>
      </c>
      <c r="Q206" s="306"/>
      <c r="R206" s="416" t="s">
        <v>386</v>
      </c>
      <c r="S206" s="416" t="s">
        <v>396</v>
      </c>
      <c r="T206" s="416" t="s">
        <v>288</v>
      </c>
      <c r="U206" s="411" t="s">
        <v>407</v>
      </c>
      <c r="V206" s="306"/>
      <c r="W206" s="416" t="s">
        <v>386</v>
      </c>
      <c r="X206" s="416" t="s">
        <v>396</v>
      </c>
      <c r="Y206" s="416" t="s">
        <v>288</v>
      </c>
      <c r="Z206" s="411" t="s">
        <v>407</v>
      </c>
      <c r="AB206" s="416"/>
      <c r="AC206" s="136"/>
      <c r="AD206" s="430"/>
      <c r="AE206" s="430" t="s">
        <v>386</v>
      </c>
      <c r="AF206" s="430" t="s">
        <v>396</v>
      </c>
      <c r="AG206" s="430" t="s">
        <v>288</v>
      </c>
      <c r="AH206" s="411" t="s">
        <v>406</v>
      </c>
      <c r="AI206" s="428"/>
      <c r="AJ206" s="430" t="s">
        <v>386</v>
      </c>
      <c r="AK206" s="430" t="s">
        <v>396</v>
      </c>
      <c r="AL206" s="430" t="s">
        <v>288</v>
      </c>
      <c r="AM206" s="411" t="s">
        <v>407</v>
      </c>
      <c r="AN206" s="428"/>
      <c r="AO206" s="430" t="s">
        <v>386</v>
      </c>
      <c r="AP206" s="430" t="s">
        <v>396</v>
      </c>
      <c r="AQ206" s="430" t="s">
        <v>288</v>
      </c>
      <c r="AR206" s="411" t="s">
        <v>407</v>
      </c>
      <c r="AS206" s="306"/>
      <c r="AT206" s="430" t="s">
        <v>386</v>
      </c>
      <c r="AU206" s="430" t="s">
        <v>396</v>
      </c>
      <c r="AV206" s="430" t="s">
        <v>288</v>
      </c>
      <c r="AW206" s="411" t="s">
        <v>407</v>
      </c>
      <c r="AX206" s="306"/>
      <c r="AY206" s="430" t="s">
        <v>386</v>
      </c>
      <c r="AZ206" s="430" t="s">
        <v>396</v>
      </c>
      <c r="BA206" s="430" t="s">
        <v>288</v>
      </c>
      <c r="BB206" s="411" t="s">
        <v>407</v>
      </c>
    </row>
    <row r="207" spans="1:54" x14ac:dyDescent="0.25">
      <c r="A207" s="136" t="s">
        <v>312</v>
      </c>
      <c r="B207" s="416">
        <v>1</v>
      </c>
      <c r="C207" s="415">
        <f>IF(B207="","",B207*'Tabella Carichi Unitari'!$G$8)</f>
        <v>5.2</v>
      </c>
      <c r="D207" s="415">
        <f>IF(B207="","",B207*'Tabella Carichi Unitari'!$H$8)</f>
        <v>3</v>
      </c>
      <c r="E207" s="415">
        <f>IF(B207="","",B207*'Tabella Carichi Unitari'!$C$8)</f>
        <v>4</v>
      </c>
      <c r="F207" s="109">
        <f>IF(B207="","",B207*'Tabella Carichi Unitari'!$K$8)</f>
        <v>0.6</v>
      </c>
      <c r="G207" s="416">
        <v>1</v>
      </c>
      <c r="H207" s="415">
        <f>IF(G207="","",G207*'Tabella Carichi Unitari'!$G$7)</f>
        <v>5.0122799999999996</v>
      </c>
      <c r="I207" s="415">
        <f>IF(G207="","",G207*'Tabella Carichi Unitari'!$H$7)</f>
        <v>4.8</v>
      </c>
      <c r="J207" s="415">
        <f>IF(G207="","",G207*'Tabella Carichi Unitari'!$C$7)</f>
        <v>3.8555999999999995</v>
      </c>
      <c r="K207" s="109">
        <f>IF(G207="","",G207*'Tabella Carichi Unitari'!$K$7)</f>
        <v>1.7999999999999998</v>
      </c>
      <c r="L207" s="416">
        <v>1</v>
      </c>
      <c r="M207" s="415">
        <f>IF(L207="","",L207*'Tabella Carichi Unitari'!$G$7)</f>
        <v>5.0122799999999996</v>
      </c>
      <c r="N207" s="415">
        <f>IF(L207="","",L207*'Tabella Carichi Unitari'!$H$7)</f>
        <v>4.8</v>
      </c>
      <c r="O207" s="415">
        <f>IF(L207="","",L207*'Tabella Carichi Unitari'!$C$7)</f>
        <v>3.8555999999999995</v>
      </c>
      <c r="P207" s="109">
        <f>IF(L207="","",L207*'Tabella Carichi Unitari'!$K$7)</f>
        <v>1.7999999999999998</v>
      </c>
      <c r="Q207" s="416">
        <v>1</v>
      </c>
      <c r="R207" s="415">
        <f>IF(Q207="","",Q207*'Tabella Carichi Unitari'!$G$7)</f>
        <v>5.0122799999999996</v>
      </c>
      <c r="S207" s="415">
        <f>IF(Q207="","",Q207*'Tabella Carichi Unitari'!$H$7)</f>
        <v>4.8</v>
      </c>
      <c r="T207" s="415">
        <f>IF(Q207="","",Q207*'Tabella Carichi Unitari'!$C$7)</f>
        <v>3.8555999999999995</v>
      </c>
      <c r="U207" s="109">
        <f>IF(Q207="","",Q207*'Tabella Carichi Unitari'!$K$7)</f>
        <v>1.7999999999999998</v>
      </c>
      <c r="V207" s="416">
        <v>1</v>
      </c>
      <c r="W207" s="415">
        <f>IF(V207="","",V207*'Tabella Carichi Unitari'!$G$7)</f>
        <v>5.0122799999999996</v>
      </c>
      <c r="X207" s="415">
        <f>IF(V207="","",V207*'Tabella Carichi Unitari'!$H$7)</f>
        <v>4.8</v>
      </c>
      <c r="Y207" s="415">
        <f>IF(V207="","",V207*'Tabella Carichi Unitari'!$C$7)</f>
        <v>3.8555999999999995</v>
      </c>
      <c r="Z207" s="109">
        <f>IF(V207="","",V207*'Tabella Carichi Unitari'!$K$7)</f>
        <v>1.7999999999999998</v>
      </c>
      <c r="AB207" s="416"/>
      <c r="AC207" s="136" t="s">
        <v>312</v>
      </c>
      <c r="AD207" s="429">
        <f>((5.2/2)+(3.9/2))*1.1</f>
        <v>5.0049999999999999</v>
      </c>
      <c r="AE207" s="429">
        <f>IF(AD207="","",AD207*'Tabella Carichi Unitari'!$G$8)</f>
        <v>26.026</v>
      </c>
      <c r="AF207" s="429">
        <f>IF(AD207="","",AD207*'Tabella Carichi Unitari'!$H$8)</f>
        <v>15.015000000000001</v>
      </c>
      <c r="AG207" s="429">
        <f>IF(AD207="","",AD207*'Tabella Carichi Unitari'!$C$8)</f>
        <v>20.02</v>
      </c>
      <c r="AH207" s="109">
        <f>IF(AD207="","",AD207*'Tabella Carichi Unitari'!$K$8)</f>
        <v>3.0029999999999997</v>
      </c>
      <c r="AI207" s="429">
        <f>AD207</f>
        <v>5.0049999999999999</v>
      </c>
      <c r="AJ207" s="429">
        <f>IF(AI207="","",AI207*'Tabella Carichi Unitari'!$G$7)</f>
        <v>25.086461399999997</v>
      </c>
      <c r="AK207" s="429">
        <f>IF(AI207="","",AI207*'Tabella Carichi Unitari'!$H$7)</f>
        <v>24.023999999999997</v>
      </c>
      <c r="AL207" s="429">
        <f>IF(AI207="","",AI207*'Tabella Carichi Unitari'!$C$7)</f>
        <v>19.297277999999999</v>
      </c>
      <c r="AM207" s="109">
        <f>IF(AI207="","",AI207*'Tabella Carichi Unitari'!$K$7)</f>
        <v>9.0089999999999986</v>
      </c>
      <c r="AN207" s="429">
        <f>AD207</f>
        <v>5.0049999999999999</v>
      </c>
      <c r="AO207" s="429">
        <f>IF(AN207="","",AN207*'Tabella Carichi Unitari'!$G$7)</f>
        <v>25.086461399999997</v>
      </c>
      <c r="AP207" s="429">
        <f>IF(AN207="","",AN207*'Tabella Carichi Unitari'!$H$7)</f>
        <v>24.023999999999997</v>
      </c>
      <c r="AQ207" s="429">
        <f>IF(AN207="","",AN207*'Tabella Carichi Unitari'!$C$7)</f>
        <v>19.297277999999999</v>
      </c>
      <c r="AR207" s="109">
        <f>IF(AN207="","",AN207*'Tabella Carichi Unitari'!$K$7)</f>
        <v>9.0089999999999986</v>
      </c>
      <c r="AS207" s="429">
        <f>AD207</f>
        <v>5.0049999999999999</v>
      </c>
      <c r="AT207" s="429">
        <f>IF(AS207="","",AS207*'Tabella Carichi Unitari'!$G$7)</f>
        <v>25.086461399999997</v>
      </c>
      <c r="AU207" s="429">
        <f>IF(AS207="","",AS207*'Tabella Carichi Unitari'!$H$7)</f>
        <v>24.023999999999997</v>
      </c>
      <c r="AV207" s="429">
        <f>IF(AS207="","",AS207*'Tabella Carichi Unitari'!$C$7)</f>
        <v>19.297277999999999</v>
      </c>
      <c r="AW207" s="109">
        <f>IF(AS207="","",AS207*'Tabella Carichi Unitari'!$K$7)</f>
        <v>9.0089999999999986</v>
      </c>
      <c r="AX207" s="429">
        <f>AD207</f>
        <v>5.0049999999999999</v>
      </c>
      <c r="AY207" s="429">
        <f>IF(AX207="","",AX207*'Tabella Carichi Unitari'!$G$7)</f>
        <v>25.086461399999997</v>
      </c>
      <c r="AZ207" s="429">
        <f>IF(AX207="","",AX207*'Tabella Carichi Unitari'!$H$7)</f>
        <v>24.023999999999997</v>
      </c>
      <c r="BA207" s="429">
        <f>IF(AX207="","",AX207*'Tabella Carichi Unitari'!$C$7)</f>
        <v>19.297277999999999</v>
      </c>
      <c r="BB207" s="109">
        <f>IF(AX207="","",AX207*'Tabella Carichi Unitari'!$K$7)</f>
        <v>9.0089999999999986</v>
      </c>
    </row>
    <row r="208" spans="1:54" x14ac:dyDescent="0.25">
      <c r="A208" s="136" t="s">
        <v>314</v>
      </c>
      <c r="B208" s="416"/>
      <c r="C208" s="415" t="str">
        <f>IF(B208="","",B208*'Tabella Carichi Unitari'!$G$11)</f>
        <v/>
      </c>
      <c r="D208" s="415" t="str">
        <f>IF(B208="","",B208*'Tabella Carichi Unitari'!$H$11)</f>
        <v/>
      </c>
      <c r="E208" s="415" t="str">
        <f>IF(B208="","",B208*'Tabella Carichi Unitari'!$C$11)</f>
        <v/>
      </c>
      <c r="F208" s="109" t="str">
        <f>IF(B208="","",B208*'Tabella Carichi Unitari'!$K$11)</f>
        <v/>
      </c>
      <c r="G208" s="416"/>
      <c r="H208" s="415" t="str">
        <f>IF(G208="","",G208*'Tabella Carichi Unitari'!$G$10)</f>
        <v/>
      </c>
      <c r="I208" s="415" t="str">
        <f>IF(G208="","",G208*'Tabella Carichi Unitari'!$H$10)</f>
        <v/>
      </c>
      <c r="J208" s="415" t="str">
        <f>IF(G208="","",G208*'Tabella Carichi Unitari'!$C$10)</f>
        <v/>
      </c>
      <c r="K208" s="109" t="str">
        <f>IF(G208="","",G208*'Tabella Carichi Unitari'!$K$10)</f>
        <v/>
      </c>
      <c r="L208" s="416"/>
      <c r="M208" s="415" t="str">
        <f>IF(L208="","",L208*'Tabella Carichi Unitari'!$G$10)</f>
        <v/>
      </c>
      <c r="N208" s="415" t="str">
        <f>IF(L208="","",L208*'Tabella Carichi Unitari'!$H$10)</f>
        <v/>
      </c>
      <c r="O208" s="415" t="str">
        <f>IF(L208="","",L208*'Tabella Carichi Unitari'!$C$10)</f>
        <v/>
      </c>
      <c r="P208" s="109" t="str">
        <f>IF(L208="","",L208*'Tabella Carichi Unitari'!$K$10)</f>
        <v/>
      </c>
      <c r="Q208" s="416"/>
      <c r="R208" s="415" t="str">
        <f>IF(Q208="","",Q208*'Tabella Carichi Unitari'!$G$10)</f>
        <v/>
      </c>
      <c r="S208" s="415" t="str">
        <f>IF(Q208="","",Q208*'Tabella Carichi Unitari'!$H$10)</f>
        <v/>
      </c>
      <c r="T208" s="415" t="str">
        <f>IF(Q208="","",Q208*'Tabella Carichi Unitari'!$C$10)</f>
        <v/>
      </c>
      <c r="U208" s="109" t="str">
        <f>IF(Q208="","",Q208*'Tabella Carichi Unitari'!$K$10)</f>
        <v/>
      </c>
      <c r="V208" s="416"/>
      <c r="W208" s="415" t="str">
        <f>IF(V208="","",V208*'Tabella Carichi Unitari'!$G$10)</f>
        <v/>
      </c>
      <c r="X208" s="415" t="str">
        <f>IF(V208="","",V208*'Tabella Carichi Unitari'!$H$10)</f>
        <v/>
      </c>
      <c r="Y208" s="415" t="str">
        <f>IF(V208="","",V208*'Tabella Carichi Unitari'!$C$10)</f>
        <v/>
      </c>
      <c r="Z208" s="109" t="str">
        <f>IF(V208="","",V208*'Tabella Carichi Unitari'!$K$10)</f>
        <v/>
      </c>
      <c r="AB208" s="416"/>
      <c r="AC208" s="136" t="s">
        <v>314</v>
      </c>
      <c r="AD208" s="430"/>
      <c r="AE208" s="429" t="str">
        <f>IF(AD208="","",AD208*'Tabella Carichi Unitari'!$G$11)</f>
        <v/>
      </c>
      <c r="AF208" s="429" t="str">
        <f>IF(AD208="","",AD208*'Tabella Carichi Unitari'!$H$11)</f>
        <v/>
      </c>
      <c r="AG208" s="429" t="str">
        <f>IF(AD208="","",AD208*'Tabella Carichi Unitari'!$C$11)</f>
        <v/>
      </c>
      <c r="AH208" s="109" t="str">
        <f>IF(AD208="","",AD208*'Tabella Carichi Unitari'!$K$11)</f>
        <v/>
      </c>
      <c r="AI208" s="430"/>
      <c r="AJ208" s="429" t="str">
        <f>IF(AI208="","",AI208*'Tabella Carichi Unitari'!$G$10)</f>
        <v/>
      </c>
      <c r="AK208" s="429" t="str">
        <f>IF(AI208="","",AI208*'Tabella Carichi Unitari'!$H$10)</f>
        <v/>
      </c>
      <c r="AL208" s="429" t="str">
        <f>IF(AI208="","",AI208*'Tabella Carichi Unitari'!$C$10)</f>
        <v/>
      </c>
      <c r="AM208" s="109" t="str">
        <f>IF(AI208="","",AI208*'Tabella Carichi Unitari'!$K$10)</f>
        <v/>
      </c>
      <c r="AN208" s="430"/>
      <c r="AO208" s="429" t="str">
        <f>IF(AN208="","",AN208*'Tabella Carichi Unitari'!$G$10)</f>
        <v/>
      </c>
      <c r="AP208" s="429" t="str">
        <f>IF(AN208="","",AN208*'Tabella Carichi Unitari'!$H$10)</f>
        <v/>
      </c>
      <c r="AQ208" s="429" t="str">
        <f>IF(AN208="","",AN208*'Tabella Carichi Unitari'!$C$10)</f>
        <v/>
      </c>
      <c r="AR208" s="109" t="str">
        <f>IF(AN208="","",AN208*'Tabella Carichi Unitari'!$K$10)</f>
        <v/>
      </c>
      <c r="AS208" s="430"/>
      <c r="AT208" s="429" t="str">
        <f>IF(AS208="","",AS208*'Tabella Carichi Unitari'!$G$10)</f>
        <v/>
      </c>
      <c r="AU208" s="429" t="str">
        <f>IF(AS208="","",AS208*'Tabella Carichi Unitari'!$H$10)</f>
        <v/>
      </c>
      <c r="AV208" s="429" t="str">
        <f>IF(AS208="","",AS208*'Tabella Carichi Unitari'!$C$10)</f>
        <v/>
      </c>
      <c r="AW208" s="109" t="str">
        <f>IF(AS208="","",AS208*'Tabella Carichi Unitari'!$K$10)</f>
        <v/>
      </c>
      <c r="AX208" s="430"/>
      <c r="AY208" s="429" t="str">
        <f>IF(AX208="","",AX208*'Tabella Carichi Unitari'!$G$10)</f>
        <v/>
      </c>
      <c r="AZ208" s="429" t="str">
        <f>IF(AX208="","",AX208*'Tabella Carichi Unitari'!$H$10)</f>
        <v/>
      </c>
      <c r="BA208" s="429" t="str">
        <f>IF(AX208="","",AX208*'Tabella Carichi Unitari'!$C$10)</f>
        <v/>
      </c>
      <c r="BB208" s="109" t="str">
        <f>IF(AX208="","",AX208*'Tabella Carichi Unitari'!$K$10)</f>
        <v/>
      </c>
    </row>
    <row r="209" spans="1:54" x14ac:dyDescent="0.25">
      <c r="A209" s="136" t="s">
        <v>315</v>
      </c>
      <c r="B209" s="416"/>
      <c r="C209" s="415" t="str">
        <f>IF(B209="","",B209*'Tabella Carichi Unitari'!$G$12)</f>
        <v/>
      </c>
      <c r="D209" s="415" t="str">
        <f>IF(B209="","",B209*'Tabella Carichi Unitari'!$H$12)</f>
        <v/>
      </c>
      <c r="E209" s="415" t="str">
        <f>IF(B209="","",B209*'Tabella Carichi Unitari'!$C$12)</f>
        <v/>
      </c>
      <c r="F209" s="109" t="str">
        <f>IF(B209="","",B209*'Tabella Carichi Unitari'!$K$12)</f>
        <v/>
      </c>
      <c r="G209" s="416"/>
      <c r="H209" s="415" t="str">
        <f>IF(G209="","",G209*'Tabella Carichi Unitari'!$G$12)</f>
        <v/>
      </c>
      <c r="I209" s="415" t="str">
        <f>IF(G209="","",G209*'Tabella Carichi Unitari'!$H$12)</f>
        <v/>
      </c>
      <c r="J209" s="415" t="str">
        <f>IF(G209="","",G209*'Tabella Carichi Unitari'!$C$12)</f>
        <v/>
      </c>
      <c r="K209" s="109" t="str">
        <f>IF(G209="","",G209*'Tabella Carichi Unitari'!$K$12)</f>
        <v/>
      </c>
      <c r="L209" s="416"/>
      <c r="M209" s="415" t="str">
        <f>IF(L209="","",L209*'Tabella Carichi Unitari'!$G$12)</f>
        <v/>
      </c>
      <c r="N209" s="415" t="str">
        <f>IF(L209="","",L209*'Tabella Carichi Unitari'!$H$12)</f>
        <v/>
      </c>
      <c r="O209" s="415" t="str">
        <f>IF(L209="","",L209*'Tabella Carichi Unitari'!$C$12)</f>
        <v/>
      </c>
      <c r="P209" s="109" t="str">
        <f>IF(L209="","",L209*'Tabella Carichi Unitari'!$K$12)</f>
        <v/>
      </c>
      <c r="Q209" s="416"/>
      <c r="R209" s="415" t="str">
        <f>IF(Q209="","",Q209*'Tabella Carichi Unitari'!$G$12)</f>
        <v/>
      </c>
      <c r="S209" s="415" t="str">
        <f>IF(Q209="","",Q209*'Tabella Carichi Unitari'!$H$12)</f>
        <v/>
      </c>
      <c r="T209" s="415" t="str">
        <f>IF(Q209="","",Q209*'Tabella Carichi Unitari'!$C$12)</f>
        <v/>
      </c>
      <c r="U209" s="109" t="str">
        <f>IF(Q209="","",Q209*'Tabella Carichi Unitari'!$K$12)</f>
        <v/>
      </c>
      <c r="V209" s="416"/>
      <c r="W209" s="415" t="str">
        <f>IF(V209="","",V209*'Tabella Carichi Unitari'!$G$12)</f>
        <v/>
      </c>
      <c r="X209" s="415" t="str">
        <f>IF(V209="","",V209*'Tabella Carichi Unitari'!$H$12)</f>
        <v/>
      </c>
      <c r="Y209" s="415" t="str">
        <f>IF(V209="","",V209*'Tabella Carichi Unitari'!$C$12)</f>
        <v/>
      </c>
      <c r="Z209" s="109" t="str">
        <f>IF(V209="","",V209*'Tabella Carichi Unitari'!$K$12)</f>
        <v/>
      </c>
      <c r="AB209" s="416"/>
      <c r="AC209" s="136" t="s">
        <v>315</v>
      </c>
      <c r="AD209" s="430"/>
      <c r="AE209" s="429" t="str">
        <f>IF(AD209="","",AD209*'Tabella Carichi Unitari'!$G$12)</f>
        <v/>
      </c>
      <c r="AF209" s="429" t="str">
        <f>IF(AD209="","",AD209*'Tabella Carichi Unitari'!$H$12)</f>
        <v/>
      </c>
      <c r="AG209" s="429" t="str">
        <f>IF(AD209="","",AD209*'Tabella Carichi Unitari'!$C$12)</f>
        <v/>
      </c>
      <c r="AH209" s="109" t="str">
        <f>IF(AD209="","",AD209*'Tabella Carichi Unitari'!$K$12)</f>
        <v/>
      </c>
      <c r="AI209" s="430"/>
      <c r="AJ209" s="429" t="str">
        <f>IF(AI209="","",AI209*'Tabella Carichi Unitari'!$G$12)</f>
        <v/>
      </c>
      <c r="AK209" s="429" t="str">
        <f>IF(AI209="","",AI209*'Tabella Carichi Unitari'!$H$12)</f>
        <v/>
      </c>
      <c r="AL209" s="429" t="str">
        <f>IF(AI209="","",AI209*'Tabella Carichi Unitari'!$C$12)</f>
        <v/>
      </c>
      <c r="AM209" s="109" t="str">
        <f>IF(AI209="","",AI209*'Tabella Carichi Unitari'!$K$12)</f>
        <v/>
      </c>
      <c r="AN209" s="430"/>
      <c r="AO209" s="429" t="str">
        <f>IF(AN209="","",AN209*'Tabella Carichi Unitari'!$G$12)</f>
        <v/>
      </c>
      <c r="AP209" s="429" t="str">
        <f>IF(AN209="","",AN209*'Tabella Carichi Unitari'!$H$12)</f>
        <v/>
      </c>
      <c r="AQ209" s="429" t="str">
        <f>IF(AN209="","",AN209*'Tabella Carichi Unitari'!$C$12)</f>
        <v/>
      </c>
      <c r="AR209" s="109" t="str">
        <f>IF(AN209="","",AN209*'Tabella Carichi Unitari'!$K$12)</f>
        <v/>
      </c>
      <c r="AS209" s="430"/>
      <c r="AT209" s="429" t="str">
        <f>IF(AS209="","",AS209*'Tabella Carichi Unitari'!$G$12)</f>
        <v/>
      </c>
      <c r="AU209" s="429" t="str">
        <f>IF(AS209="","",AS209*'Tabella Carichi Unitari'!$H$12)</f>
        <v/>
      </c>
      <c r="AV209" s="429" t="str">
        <f>IF(AS209="","",AS209*'Tabella Carichi Unitari'!$C$12)</f>
        <v/>
      </c>
      <c r="AW209" s="109" t="str">
        <f>IF(AS209="","",AS209*'Tabella Carichi Unitari'!$K$12)</f>
        <v/>
      </c>
      <c r="AX209" s="430"/>
      <c r="AY209" s="429" t="str">
        <f>IF(AX209="","",AX209*'Tabella Carichi Unitari'!$G$12)</f>
        <v/>
      </c>
      <c r="AZ209" s="429" t="str">
        <f>IF(AX209="","",AX209*'Tabella Carichi Unitari'!$H$12)</f>
        <v/>
      </c>
      <c r="BA209" s="429" t="str">
        <f>IF(AX209="","",AX209*'Tabella Carichi Unitari'!$C$12)</f>
        <v/>
      </c>
      <c r="BB209" s="109" t="str">
        <f>IF(AX209="","",AX209*'Tabella Carichi Unitari'!$K$12)</f>
        <v/>
      </c>
    </row>
    <row r="210" spans="1:54" x14ac:dyDescent="0.25">
      <c r="A210" s="136" t="s">
        <v>391</v>
      </c>
      <c r="B210" s="416">
        <v>1</v>
      </c>
      <c r="C210" s="415">
        <f>IF(B210="","",B210*'Tabella Carichi Unitari'!$G$15)</f>
        <v>3.8415000000000004</v>
      </c>
      <c r="D210" s="415">
        <f>IF(B210="","",B210*'Tabella Carichi Unitari'!$H$15)</f>
        <v>0</v>
      </c>
      <c r="E210" s="415">
        <f>IF(B210="","",B210*'Tabella Carichi Unitari'!$C$15)</f>
        <v>2.9550000000000001</v>
      </c>
      <c r="F210" s="109">
        <f>IF(B210="","",B210*'Tabella Carichi Unitari'!$K$15)</f>
        <v>0</v>
      </c>
      <c r="G210" s="416">
        <v>1</v>
      </c>
      <c r="H210" s="415">
        <f>IF(G210="","",G210*'Tabella Carichi Unitari'!$G$14)</f>
        <v>4.8165000000000004</v>
      </c>
      <c r="I210" s="415">
        <f>IF(G210="","",G210*'Tabella Carichi Unitari'!$H$14)</f>
        <v>0</v>
      </c>
      <c r="J210" s="415">
        <f>IF(G210="","",G210*'Tabella Carichi Unitari'!$C$14)</f>
        <v>3.7050000000000001</v>
      </c>
      <c r="K210" s="109">
        <f>IF(G210="","",G210*'Tabella Carichi Unitari'!$K$14)</f>
        <v>0</v>
      </c>
      <c r="L210" s="416">
        <v>1</v>
      </c>
      <c r="M210" s="415">
        <f>IF(L210="","",L210*'Tabella Carichi Unitari'!$G$13)</f>
        <v>5.7915000000000001</v>
      </c>
      <c r="N210" s="415">
        <f>IF(L210="","",L210*'Tabella Carichi Unitari'!$H$13)</f>
        <v>0</v>
      </c>
      <c r="O210" s="415">
        <f>IF(L210="","",L210*'Tabella Carichi Unitari'!$C$13)</f>
        <v>4.4550000000000001</v>
      </c>
      <c r="P210" s="109">
        <f>IF(L210="","",L210*'Tabella Carichi Unitari'!$K$13)</f>
        <v>0</v>
      </c>
      <c r="Q210" s="416">
        <v>1</v>
      </c>
      <c r="R210" s="415">
        <f>IF(Q210="","",Q210*'Tabella Carichi Unitari'!$G$13)</f>
        <v>5.7915000000000001</v>
      </c>
      <c r="S210" s="415">
        <f>IF(Q210="","",Q210*'Tabella Carichi Unitari'!$H$13)</f>
        <v>0</v>
      </c>
      <c r="T210" s="415">
        <f>IF(Q210="","",Q210*'Tabella Carichi Unitari'!$C$13)</f>
        <v>4.4550000000000001</v>
      </c>
      <c r="U210" s="109">
        <f>IF(Q210="","",Q210*'Tabella Carichi Unitari'!$K$13)</f>
        <v>0</v>
      </c>
      <c r="V210" s="416">
        <v>1</v>
      </c>
      <c r="W210" s="415">
        <f>IF(V210="","",V210*'Tabella Carichi Unitari'!$G$13)</f>
        <v>5.7915000000000001</v>
      </c>
      <c r="X210" s="415">
        <f>IF(V210="","",V210*'Tabella Carichi Unitari'!$H$13)</f>
        <v>0</v>
      </c>
      <c r="Y210" s="415">
        <f>IF(V210="","",V210*'Tabella Carichi Unitari'!$C$13)</f>
        <v>4.4550000000000001</v>
      </c>
      <c r="Z210" s="109">
        <f>IF(V210="","",V210*'Tabella Carichi Unitari'!$K$13)</f>
        <v>0</v>
      </c>
      <c r="AB210" s="416"/>
      <c r="AC210" s="136" t="s">
        <v>391</v>
      </c>
      <c r="AD210" s="430">
        <v>1</v>
      </c>
      <c r="AE210" s="429">
        <f>IF(AD210="","",AD210*'Tabella Carichi Unitari'!$G$15)</f>
        <v>3.8415000000000004</v>
      </c>
      <c r="AF210" s="429">
        <f>IF(AD210="","",AD210*'Tabella Carichi Unitari'!$H$15)</f>
        <v>0</v>
      </c>
      <c r="AG210" s="429">
        <f>IF(AD210="","",AD210*'Tabella Carichi Unitari'!$C$15)</f>
        <v>2.9550000000000001</v>
      </c>
      <c r="AH210" s="109">
        <f>IF(AD210="","",AD210*'Tabella Carichi Unitari'!$K$15)</f>
        <v>0</v>
      </c>
      <c r="AI210" s="430">
        <v>1</v>
      </c>
      <c r="AJ210" s="429">
        <f>IF(AI210="","",AI210*'Tabella Carichi Unitari'!$G$14)</f>
        <v>4.8165000000000004</v>
      </c>
      <c r="AK210" s="429">
        <f>IF(AI210="","",AI210*'Tabella Carichi Unitari'!$H$14)</f>
        <v>0</v>
      </c>
      <c r="AL210" s="429">
        <f>IF(AI210="","",AI210*'Tabella Carichi Unitari'!$C$14)</f>
        <v>3.7050000000000001</v>
      </c>
      <c r="AM210" s="109">
        <f>IF(AI210="","",AI210*'Tabella Carichi Unitari'!$K$14)</f>
        <v>0</v>
      </c>
      <c r="AN210" s="430">
        <v>1</v>
      </c>
      <c r="AO210" s="429">
        <f>IF(AN210="","",AN210*'Tabella Carichi Unitari'!$G$13)</f>
        <v>5.7915000000000001</v>
      </c>
      <c r="AP210" s="429">
        <f>IF(AN210="","",AN210*'Tabella Carichi Unitari'!$H$13)</f>
        <v>0</v>
      </c>
      <c r="AQ210" s="429">
        <f>IF(AN210="","",AN210*'Tabella Carichi Unitari'!$C$13)</f>
        <v>4.4550000000000001</v>
      </c>
      <c r="AR210" s="109">
        <f>IF(AN210="","",AN210*'Tabella Carichi Unitari'!$K$13)</f>
        <v>0</v>
      </c>
      <c r="AS210" s="430">
        <v>1</v>
      </c>
      <c r="AT210" s="429">
        <f>IF(AS210="","",AS210*'Tabella Carichi Unitari'!$G$13)</f>
        <v>5.7915000000000001</v>
      </c>
      <c r="AU210" s="429">
        <f>IF(AS210="","",AS210*'Tabella Carichi Unitari'!$H$13)</f>
        <v>0</v>
      </c>
      <c r="AV210" s="429">
        <f>IF(AS210="","",AS210*'Tabella Carichi Unitari'!$C$13)</f>
        <v>4.4550000000000001</v>
      </c>
      <c r="AW210" s="109">
        <f>IF(AS210="","",AS210*'Tabella Carichi Unitari'!$K$13)</f>
        <v>0</v>
      </c>
      <c r="AX210" s="430">
        <v>1</v>
      </c>
      <c r="AY210" s="429">
        <f>IF(AX210="","",AX210*'Tabella Carichi Unitari'!$G$13)</f>
        <v>5.7915000000000001</v>
      </c>
      <c r="AZ210" s="429">
        <f>IF(AX210="","",AX210*'Tabella Carichi Unitari'!$H$13)</f>
        <v>0</v>
      </c>
      <c r="BA210" s="429">
        <f>IF(AX210="","",AX210*'Tabella Carichi Unitari'!$C$13)</f>
        <v>4.4550000000000001</v>
      </c>
      <c r="BB210" s="109">
        <f>IF(AX210="","",AX210*'Tabella Carichi Unitari'!$K$13)</f>
        <v>0</v>
      </c>
    </row>
    <row r="211" spans="1:54" x14ac:dyDescent="0.25">
      <c r="A211" s="136" t="s">
        <v>392</v>
      </c>
      <c r="B211" s="416"/>
      <c r="C211" s="415" t="str">
        <f>IF(B211="","",B211*'Tabella Carichi Unitari'!$G$16)</f>
        <v/>
      </c>
      <c r="D211" s="415" t="str">
        <f>IF(B211="","",B211*'Tabella Carichi Unitari'!$H$16)</f>
        <v/>
      </c>
      <c r="E211" s="415" t="str">
        <f>IF(B211="","",B211*'Tabella Carichi Unitari'!$C$16)</f>
        <v/>
      </c>
      <c r="F211" s="109" t="str">
        <f>IF(B211="","",B211*'Tabella Carichi Unitari'!$K$16)</f>
        <v/>
      </c>
      <c r="G211" s="416"/>
      <c r="H211" s="415" t="str">
        <f>IF(G211="","",G211*'Tabella Carichi Unitari'!$G$16)</f>
        <v/>
      </c>
      <c r="I211" s="415" t="str">
        <f>IF(G211="","",G211*'Tabella Carichi Unitari'!$H$16)</f>
        <v/>
      </c>
      <c r="J211" s="415" t="str">
        <f>IF(G211="","",G211*'Tabella Carichi Unitari'!$C$16)</f>
        <v/>
      </c>
      <c r="K211" s="109" t="str">
        <f>IF(G211="","",G211*'Tabella Carichi Unitari'!$K$16)</f>
        <v/>
      </c>
      <c r="L211" s="416"/>
      <c r="M211" s="415" t="str">
        <f>IF(L211="","",L211*'Tabella Carichi Unitari'!$G$16)</f>
        <v/>
      </c>
      <c r="N211" s="415" t="str">
        <f>IF(L211="","",L211*'Tabella Carichi Unitari'!$H$16)</f>
        <v/>
      </c>
      <c r="O211" s="415" t="str">
        <f>IF(L211="","",L211*'Tabella Carichi Unitari'!$C$16)</f>
        <v/>
      </c>
      <c r="P211" s="109" t="str">
        <f>IF(L211="","",L211*'Tabella Carichi Unitari'!$K$16)</f>
        <v/>
      </c>
      <c r="Q211" s="416"/>
      <c r="R211" s="415" t="str">
        <f>IF(Q211="","",Q211*'Tabella Carichi Unitari'!$G$16)</f>
        <v/>
      </c>
      <c r="S211" s="415" t="str">
        <f>IF(Q211="","",Q211*'Tabella Carichi Unitari'!$H$16)</f>
        <v/>
      </c>
      <c r="T211" s="415" t="str">
        <f>IF(Q211="","",Q211*'Tabella Carichi Unitari'!$C$16)</f>
        <v/>
      </c>
      <c r="U211" s="109" t="str">
        <f>IF(Q211="","",Q211*'Tabella Carichi Unitari'!$K$16)</f>
        <v/>
      </c>
      <c r="V211" s="416"/>
      <c r="W211" s="415" t="str">
        <f>IF(V211="","",V211*'Tabella Carichi Unitari'!$G$16)</f>
        <v/>
      </c>
      <c r="X211" s="415" t="str">
        <f>IF(V211="","",V211*'Tabella Carichi Unitari'!$H$16)</f>
        <v/>
      </c>
      <c r="Y211" s="415" t="str">
        <f>IF(V211="","",V211*'Tabella Carichi Unitari'!$C$16)</f>
        <v/>
      </c>
      <c r="Z211" s="109" t="str">
        <f>IF(V211="","",V211*'Tabella Carichi Unitari'!$K$16)</f>
        <v/>
      </c>
      <c r="AB211" s="416"/>
      <c r="AC211" s="136" t="s">
        <v>392</v>
      </c>
      <c r="AD211" s="430"/>
      <c r="AE211" s="429" t="str">
        <f>IF(AD211="","",AD211*'Tabella Carichi Unitari'!$G$16)</f>
        <v/>
      </c>
      <c r="AF211" s="429" t="str">
        <f>IF(AD211="","",AD211*'Tabella Carichi Unitari'!$H$16)</f>
        <v/>
      </c>
      <c r="AG211" s="429" t="str">
        <f>IF(AD211="","",AD211*'Tabella Carichi Unitari'!$C$16)</f>
        <v/>
      </c>
      <c r="AH211" s="109" t="str">
        <f>IF(AD211="","",AD211*'Tabella Carichi Unitari'!$K$16)</f>
        <v/>
      </c>
      <c r="AI211" s="430"/>
      <c r="AJ211" s="429" t="str">
        <f>IF(AI211="","",AI211*'Tabella Carichi Unitari'!$G$16)</f>
        <v/>
      </c>
      <c r="AK211" s="429" t="str">
        <f>IF(AI211="","",AI211*'Tabella Carichi Unitari'!$H$16)</f>
        <v/>
      </c>
      <c r="AL211" s="429" t="str">
        <f>IF(AI211="","",AI211*'Tabella Carichi Unitari'!$C$16)</f>
        <v/>
      </c>
      <c r="AM211" s="109" t="str">
        <f>IF(AI211="","",AI211*'Tabella Carichi Unitari'!$K$16)</f>
        <v/>
      </c>
      <c r="AN211" s="430"/>
      <c r="AO211" s="429" t="str">
        <f>IF(AN211="","",AN211*'Tabella Carichi Unitari'!$G$16)</f>
        <v/>
      </c>
      <c r="AP211" s="429" t="str">
        <f>IF(AN211="","",AN211*'Tabella Carichi Unitari'!$H$16)</f>
        <v/>
      </c>
      <c r="AQ211" s="429" t="str">
        <f>IF(AN211="","",AN211*'Tabella Carichi Unitari'!$C$16)</f>
        <v/>
      </c>
      <c r="AR211" s="109" t="str">
        <f>IF(AN211="","",AN211*'Tabella Carichi Unitari'!$K$16)</f>
        <v/>
      </c>
      <c r="AS211" s="430"/>
      <c r="AT211" s="429" t="str">
        <f>IF(AS211="","",AS211*'Tabella Carichi Unitari'!$G$16)</f>
        <v/>
      </c>
      <c r="AU211" s="429" t="str">
        <f>IF(AS211="","",AS211*'Tabella Carichi Unitari'!$H$16)</f>
        <v/>
      </c>
      <c r="AV211" s="429" t="str">
        <f>IF(AS211="","",AS211*'Tabella Carichi Unitari'!$C$16)</f>
        <v/>
      </c>
      <c r="AW211" s="109" t="str">
        <f>IF(AS211="","",AS211*'Tabella Carichi Unitari'!$K$16)</f>
        <v/>
      </c>
      <c r="AX211" s="430"/>
      <c r="AY211" s="429" t="str">
        <f>IF(AX211="","",AX211*'Tabella Carichi Unitari'!$G$16)</f>
        <v/>
      </c>
      <c r="AZ211" s="429" t="str">
        <f>IF(AX211="","",AX211*'Tabella Carichi Unitari'!$H$16)</f>
        <v/>
      </c>
      <c r="BA211" s="429" t="str">
        <f>IF(AX211="","",AX211*'Tabella Carichi Unitari'!$C$16)</f>
        <v/>
      </c>
      <c r="BB211" s="109" t="str">
        <f>IF(AX211="","",AX211*'Tabella Carichi Unitari'!$K$16)</f>
        <v/>
      </c>
    </row>
    <row r="212" spans="1:54" x14ac:dyDescent="0.25">
      <c r="A212" s="136" t="s">
        <v>313</v>
      </c>
      <c r="B212" s="416"/>
      <c r="C212" s="168" t="str">
        <f>IF(B212="","",B212*'Tabella Carichi Unitari'!$G$17)</f>
        <v/>
      </c>
      <c r="D212" s="168" t="str">
        <f>IF(B212="","",B212*'Tabella Carichi Unitari'!$H$17)</f>
        <v/>
      </c>
      <c r="E212" s="168" t="str">
        <f>IF(B212="","",B212*'Tabella Carichi Unitari'!$C$17)</f>
        <v/>
      </c>
      <c r="F212" s="110" t="str">
        <f>IF(B212="","",B212*'Tabella Carichi Unitari'!$K$17)</f>
        <v/>
      </c>
      <c r="G212" s="416"/>
      <c r="H212" s="168" t="str">
        <f>IF(G212="","",G212*'Tabella Carichi Unitari'!$G$17)</f>
        <v/>
      </c>
      <c r="I212" s="168" t="str">
        <f>IF(G212="","",G212*'Tabella Carichi Unitari'!$H$17)</f>
        <v/>
      </c>
      <c r="J212" s="168" t="str">
        <f>IF(G212="","",G212*'Tabella Carichi Unitari'!$C$17)</f>
        <v/>
      </c>
      <c r="K212" s="110" t="str">
        <f>IF(G212="","",G212*'Tabella Carichi Unitari'!$K$17)</f>
        <v/>
      </c>
      <c r="L212" s="416"/>
      <c r="M212" s="168" t="str">
        <f>IF(L212="","",L212*'Tabella Carichi Unitari'!$G$17)</f>
        <v/>
      </c>
      <c r="N212" s="168" t="str">
        <f>IF(L212="","",L212*'Tabella Carichi Unitari'!$H$17)</f>
        <v/>
      </c>
      <c r="O212" s="168" t="str">
        <f>IF(L212="","",L212*'Tabella Carichi Unitari'!$C$17)</f>
        <v/>
      </c>
      <c r="P212" s="110" t="str">
        <f>IF(L212="","",L212*'Tabella Carichi Unitari'!$K$17)</f>
        <v/>
      </c>
      <c r="Q212" s="416"/>
      <c r="R212" s="168" t="str">
        <f>IF(Q212="","",Q212*'Tabella Carichi Unitari'!$G$17)</f>
        <v/>
      </c>
      <c r="S212" s="168" t="str">
        <f>IF(Q212="","",Q212*'Tabella Carichi Unitari'!$H$17)</f>
        <v/>
      </c>
      <c r="T212" s="168" t="str">
        <f>IF(Q212="","",Q212*'Tabella Carichi Unitari'!$C$17)</f>
        <v/>
      </c>
      <c r="U212" s="110" t="str">
        <f>IF(Q212="","",Q212*'Tabella Carichi Unitari'!$K$17)</f>
        <v/>
      </c>
      <c r="V212" s="416"/>
      <c r="W212" s="168" t="str">
        <f>IF(V212="","",V212*'Tabella Carichi Unitari'!$G$17)</f>
        <v/>
      </c>
      <c r="X212" s="168" t="str">
        <f>IF(V212="","",V212*'Tabella Carichi Unitari'!$H$17)</f>
        <v/>
      </c>
      <c r="Y212" s="168" t="str">
        <f>IF(V212="","",V212*'Tabella Carichi Unitari'!$C$17)</f>
        <v/>
      </c>
      <c r="Z212" s="110" t="str">
        <f>IF(V212="","",V212*'Tabella Carichi Unitari'!$K$17)</f>
        <v/>
      </c>
      <c r="AB212" s="416"/>
      <c r="AC212" s="136" t="s">
        <v>313</v>
      </c>
      <c r="AD212" s="430"/>
      <c r="AE212" s="168" t="str">
        <f>IF(AD212="","",AD212*'Tabella Carichi Unitari'!$G$17)</f>
        <v/>
      </c>
      <c r="AF212" s="168" t="str">
        <f>IF(AD212="","",AD212*'Tabella Carichi Unitari'!$H$17)</f>
        <v/>
      </c>
      <c r="AG212" s="168" t="str">
        <f>IF(AD212="","",AD212*'Tabella Carichi Unitari'!$C$17)</f>
        <v/>
      </c>
      <c r="AH212" s="110" t="str">
        <f>IF(AD212="","",AD212*'Tabella Carichi Unitari'!$K$17)</f>
        <v/>
      </c>
      <c r="AI212" s="430"/>
      <c r="AJ212" s="168" t="str">
        <f>IF(AI212="","",AI212*'Tabella Carichi Unitari'!$G$17)</f>
        <v/>
      </c>
      <c r="AK212" s="168" t="str">
        <f>IF(AI212="","",AI212*'Tabella Carichi Unitari'!$H$17)</f>
        <v/>
      </c>
      <c r="AL212" s="168" t="str">
        <f>IF(AI212="","",AI212*'Tabella Carichi Unitari'!$C$17)</f>
        <v/>
      </c>
      <c r="AM212" s="110" t="str">
        <f>IF(AI212="","",AI212*'Tabella Carichi Unitari'!$K$17)</f>
        <v/>
      </c>
      <c r="AN212" s="430"/>
      <c r="AO212" s="168" t="str">
        <f>IF(AN212="","",AN212*'Tabella Carichi Unitari'!$G$17)</f>
        <v/>
      </c>
      <c r="AP212" s="168" t="str">
        <f>IF(AN212="","",AN212*'Tabella Carichi Unitari'!$H$17)</f>
        <v/>
      </c>
      <c r="AQ212" s="168" t="str">
        <f>IF(AN212="","",AN212*'Tabella Carichi Unitari'!$C$17)</f>
        <v/>
      </c>
      <c r="AR212" s="110" t="str">
        <f>IF(AN212="","",AN212*'Tabella Carichi Unitari'!$K$17)</f>
        <v/>
      </c>
      <c r="AS212" s="430"/>
      <c r="AT212" s="168" t="str">
        <f>IF(AS212="","",AS212*'Tabella Carichi Unitari'!$G$17)</f>
        <v/>
      </c>
      <c r="AU212" s="168" t="str">
        <f>IF(AS212="","",AS212*'Tabella Carichi Unitari'!$H$17)</f>
        <v/>
      </c>
      <c r="AV212" s="168" t="str">
        <f>IF(AS212="","",AS212*'Tabella Carichi Unitari'!$C$17)</f>
        <v/>
      </c>
      <c r="AW212" s="110" t="str">
        <f>IF(AS212="","",AS212*'Tabella Carichi Unitari'!$K$17)</f>
        <v/>
      </c>
      <c r="AX212" s="430"/>
      <c r="AY212" s="168" t="str">
        <f>IF(AX212="","",AX212*'Tabella Carichi Unitari'!$G$17)</f>
        <v/>
      </c>
      <c r="AZ212" s="168" t="str">
        <f>IF(AX212="","",AX212*'Tabella Carichi Unitari'!$H$17)</f>
        <v/>
      </c>
      <c r="BA212" s="168" t="str">
        <f>IF(AX212="","",AX212*'Tabella Carichi Unitari'!$C$17)</f>
        <v/>
      </c>
      <c r="BB212" s="110" t="str">
        <f>IF(AX212="","",AX212*'Tabella Carichi Unitari'!$K$17)</f>
        <v/>
      </c>
    </row>
    <row r="213" spans="1:54" x14ac:dyDescent="0.25">
      <c r="A213" s="136"/>
      <c r="B213" s="416"/>
      <c r="C213" s="415">
        <f>SUM(C207:C212)</f>
        <v>9.041500000000001</v>
      </c>
      <c r="D213" s="415">
        <f t="shared" ref="D213" si="194">SUM(D207:D212)</f>
        <v>3</v>
      </c>
      <c r="E213" s="415">
        <f t="shared" ref="E213" si="195">SUM(E207:E212)</f>
        <v>6.9550000000000001</v>
      </c>
      <c r="F213" s="415">
        <f t="shared" ref="F213" si="196">SUM(F207:F212)</f>
        <v>0.6</v>
      </c>
      <c r="G213" s="415"/>
      <c r="H213" s="415">
        <f t="shared" ref="H213" si="197">SUM(H207:H212)</f>
        <v>9.8287800000000001</v>
      </c>
      <c r="I213" s="415">
        <f t="shared" ref="I213" si="198">SUM(I207:I212)</f>
        <v>4.8</v>
      </c>
      <c r="J213" s="415">
        <f t="shared" ref="J213" si="199">SUM(J207:J212)</f>
        <v>7.5605999999999991</v>
      </c>
      <c r="K213" s="415">
        <f t="shared" ref="K213" si="200">SUM(K207:K212)</f>
        <v>1.7999999999999998</v>
      </c>
      <c r="L213" s="415"/>
      <c r="M213" s="415">
        <f t="shared" ref="M213" si="201">SUM(M207:M212)</f>
        <v>10.80378</v>
      </c>
      <c r="N213" s="415">
        <f t="shared" ref="N213" si="202">SUM(N207:N212)</f>
        <v>4.8</v>
      </c>
      <c r="O213" s="415">
        <f t="shared" ref="O213" si="203">SUM(O207:O212)</f>
        <v>8.3105999999999991</v>
      </c>
      <c r="P213" s="415">
        <f t="shared" ref="P213" si="204">SUM(P207:P212)</f>
        <v>1.7999999999999998</v>
      </c>
      <c r="Q213" s="415"/>
      <c r="R213" s="415">
        <f t="shared" ref="R213" si="205">SUM(R207:R212)</f>
        <v>10.80378</v>
      </c>
      <c r="S213" s="415">
        <f t="shared" ref="S213" si="206">SUM(S207:S212)</f>
        <v>4.8</v>
      </c>
      <c r="T213" s="415">
        <f t="shared" ref="T213" si="207">SUM(T207:T212)</f>
        <v>8.3105999999999991</v>
      </c>
      <c r="U213" s="415">
        <f t="shared" ref="U213" si="208">SUM(U207:U212)</f>
        <v>1.7999999999999998</v>
      </c>
      <c r="V213" s="415"/>
      <c r="W213" s="415">
        <f t="shared" ref="W213" si="209">SUM(W207:W212)</f>
        <v>10.80378</v>
      </c>
      <c r="X213" s="415">
        <f t="shared" ref="X213" si="210">SUM(X207:X212)</f>
        <v>4.8</v>
      </c>
      <c r="Y213" s="415">
        <f t="shared" ref="Y213" si="211">SUM(Y207:Y212)</f>
        <v>8.3105999999999991</v>
      </c>
      <c r="Z213" s="415">
        <f t="shared" ref="Z213" si="212">SUM(Z207:Z212)</f>
        <v>1.7999999999999998</v>
      </c>
      <c r="AB213" s="416"/>
      <c r="AC213" s="136"/>
      <c r="AD213" s="430"/>
      <c r="AE213" s="429">
        <f>SUM(AE207:AE212)</f>
        <v>29.8675</v>
      </c>
      <c r="AF213" s="429">
        <f t="shared" ref="AF213:AH213" si="213">SUM(AF207:AF212)</f>
        <v>15.015000000000001</v>
      </c>
      <c r="AG213" s="429">
        <f t="shared" si="213"/>
        <v>22.975000000000001</v>
      </c>
      <c r="AH213" s="429">
        <f t="shared" si="213"/>
        <v>3.0029999999999997</v>
      </c>
      <c r="AI213" s="429"/>
      <c r="AJ213" s="429">
        <f t="shared" ref="AJ213:AM213" si="214">SUM(AJ207:AJ212)</f>
        <v>29.902961399999999</v>
      </c>
      <c r="AK213" s="429">
        <f t="shared" si="214"/>
        <v>24.023999999999997</v>
      </c>
      <c r="AL213" s="429">
        <f t="shared" si="214"/>
        <v>23.002277999999997</v>
      </c>
      <c r="AM213" s="429">
        <f t="shared" si="214"/>
        <v>9.0089999999999986</v>
      </c>
      <c r="AN213" s="429"/>
      <c r="AO213" s="429">
        <f t="shared" ref="AO213:AR213" si="215">SUM(AO207:AO212)</f>
        <v>30.877961399999997</v>
      </c>
      <c r="AP213" s="429">
        <f t="shared" si="215"/>
        <v>24.023999999999997</v>
      </c>
      <c r="AQ213" s="429">
        <f t="shared" si="215"/>
        <v>23.752277999999997</v>
      </c>
      <c r="AR213" s="429">
        <f t="shared" si="215"/>
        <v>9.0089999999999986</v>
      </c>
      <c r="AS213" s="429"/>
      <c r="AT213" s="429">
        <f t="shared" ref="AT213:AW213" si="216">SUM(AT207:AT212)</f>
        <v>30.877961399999997</v>
      </c>
      <c r="AU213" s="429">
        <f t="shared" si="216"/>
        <v>24.023999999999997</v>
      </c>
      <c r="AV213" s="429">
        <f t="shared" si="216"/>
        <v>23.752277999999997</v>
      </c>
      <c r="AW213" s="429">
        <f t="shared" si="216"/>
        <v>9.0089999999999986</v>
      </c>
      <c r="AX213" s="429"/>
      <c r="AY213" s="429">
        <f t="shared" ref="AY213:BB213" si="217">SUM(AY207:AY212)</f>
        <v>30.877961399999997</v>
      </c>
      <c r="AZ213" s="429">
        <f t="shared" si="217"/>
        <v>24.023999999999997</v>
      </c>
      <c r="BA213" s="429">
        <f t="shared" si="217"/>
        <v>23.752277999999997</v>
      </c>
      <c r="BB213" s="429">
        <f t="shared" si="217"/>
        <v>9.0089999999999986</v>
      </c>
    </row>
    <row r="214" spans="1:54" x14ac:dyDescent="0.25">
      <c r="B214" s="416"/>
      <c r="C214" s="612">
        <f>C213+D213</f>
        <v>12.041500000000001</v>
      </c>
      <c r="D214" s="612"/>
      <c r="E214" s="612">
        <f>E213+F213</f>
        <v>7.5549999999999997</v>
      </c>
      <c r="F214" s="612"/>
      <c r="G214" s="416"/>
      <c r="H214" s="612">
        <f>H213+I213</f>
        <v>14.628779999999999</v>
      </c>
      <c r="I214" s="612"/>
      <c r="J214" s="612">
        <f>J213+K213</f>
        <v>9.360599999999998</v>
      </c>
      <c r="K214" s="612"/>
      <c r="L214" s="416"/>
      <c r="M214" s="612">
        <f>M213+N213</f>
        <v>15.60378</v>
      </c>
      <c r="N214" s="612"/>
      <c r="O214" s="612">
        <f>O213+P213</f>
        <v>10.110599999999998</v>
      </c>
      <c r="P214" s="612"/>
      <c r="Q214" s="416"/>
      <c r="R214" s="612">
        <f>R213+S213</f>
        <v>15.60378</v>
      </c>
      <c r="S214" s="612"/>
      <c r="T214" s="612">
        <f>T213+U213</f>
        <v>10.110599999999998</v>
      </c>
      <c r="U214" s="612"/>
      <c r="V214" s="416"/>
      <c r="W214" s="612">
        <f>W213+X213</f>
        <v>15.60378</v>
      </c>
      <c r="X214" s="612"/>
      <c r="Y214" s="612">
        <f>Y213+Z213</f>
        <v>10.110599999999998</v>
      </c>
      <c r="Z214" s="612"/>
      <c r="AB214" s="416"/>
      <c r="AC214"/>
      <c r="AD214" s="430"/>
      <c r="AE214" s="612">
        <f>AE213+AF213</f>
        <v>44.8825</v>
      </c>
      <c r="AF214" s="612"/>
      <c r="AG214" s="612">
        <f>AG213+AH213</f>
        <v>25.978000000000002</v>
      </c>
      <c r="AH214" s="612"/>
      <c r="AI214" s="430"/>
      <c r="AJ214" s="612">
        <f>AJ213+AK213</f>
        <v>53.926961399999996</v>
      </c>
      <c r="AK214" s="612"/>
      <c r="AL214" s="612">
        <f>AL213+AM213</f>
        <v>32.011277999999997</v>
      </c>
      <c r="AM214" s="612"/>
      <c r="AN214" s="430"/>
      <c r="AO214" s="612">
        <f>AO213+AP213</f>
        <v>54.90196139999999</v>
      </c>
      <c r="AP214" s="612"/>
      <c r="AQ214" s="612">
        <f>AQ213+AR213</f>
        <v>32.761277999999997</v>
      </c>
      <c r="AR214" s="612"/>
      <c r="AS214" s="430"/>
      <c r="AT214" s="612">
        <f>AT213+AU213</f>
        <v>54.90196139999999</v>
      </c>
      <c r="AU214" s="612"/>
      <c r="AV214" s="612">
        <f>AV213+AW213</f>
        <v>32.761277999999997</v>
      </c>
      <c r="AW214" s="612"/>
      <c r="AX214" s="430"/>
      <c r="AY214" s="612">
        <f>AY213+AZ213</f>
        <v>54.90196139999999</v>
      </c>
      <c r="AZ214" s="612"/>
      <c r="BA214" s="612">
        <f>BA213+BB213</f>
        <v>32.761277999999997</v>
      </c>
      <c r="BB214" s="612"/>
    </row>
    <row r="215" spans="1:54" x14ac:dyDescent="0.25">
      <c r="B215" s="416"/>
      <c r="G215" s="416"/>
      <c r="L215" s="416"/>
      <c r="Q215" s="416"/>
      <c r="V215" s="416"/>
      <c r="AB215" s="416"/>
      <c r="AC215" s="430"/>
      <c r="AD215" s="430"/>
      <c r="AE215" s="430"/>
      <c r="AF215" s="430"/>
      <c r="AG215" s="430"/>
      <c r="AH215" s="430"/>
      <c r="AI215" s="430"/>
      <c r="AJ215" s="430"/>
      <c r="AK215" s="430"/>
      <c r="AL215" s="430"/>
      <c r="AM215" s="430"/>
      <c r="AN215" s="430"/>
      <c r="AO215" s="430"/>
      <c r="AP215" s="430"/>
      <c r="AQ215" s="430"/>
      <c r="AR215" s="430"/>
      <c r="AS215" s="430"/>
      <c r="AT215" s="430"/>
      <c r="AU215" s="430"/>
      <c r="AV215" s="430"/>
      <c r="AW215" s="430"/>
    </row>
    <row r="216" spans="1:54" x14ac:dyDescent="0.25">
      <c r="B216" s="416"/>
      <c r="G216" s="416"/>
      <c r="L216" s="416"/>
      <c r="Q216" s="416"/>
      <c r="V216" s="416"/>
      <c r="AB216" s="416"/>
      <c r="AC216" s="402"/>
      <c r="AD216" s="430"/>
      <c r="AE216"/>
      <c r="AF216"/>
      <c r="AG216"/>
      <c r="AH216"/>
      <c r="AI216" s="430"/>
      <c r="AJ216"/>
      <c r="AK216"/>
      <c r="AL216"/>
      <c r="AM216"/>
      <c r="AN216" s="430"/>
      <c r="AO216"/>
      <c r="AP216"/>
      <c r="AQ216"/>
      <c r="AR216"/>
      <c r="AS216" s="430"/>
      <c r="AT216"/>
      <c r="AU216"/>
      <c r="AV216"/>
      <c r="AW216"/>
      <c r="AX216" s="430"/>
    </row>
    <row r="217" spans="1:54" x14ac:dyDescent="0.25">
      <c r="A217" s="402" t="s">
        <v>424</v>
      </c>
      <c r="B217" s="416"/>
      <c r="G217" s="416"/>
      <c r="L217" s="416"/>
      <c r="Q217" s="416"/>
      <c r="V217" s="416"/>
      <c r="AB217" s="416"/>
      <c r="AC217" s="402" t="s">
        <v>452</v>
      </c>
      <c r="AD217" s="430"/>
      <c r="AE217"/>
      <c r="AF217"/>
      <c r="AG217"/>
      <c r="AH217"/>
      <c r="AI217" s="430"/>
      <c r="AJ217"/>
      <c r="AK217"/>
      <c r="AL217"/>
      <c r="AM217"/>
      <c r="AN217" s="430"/>
      <c r="AO217"/>
      <c r="AP217"/>
      <c r="AQ217"/>
      <c r="AR217"/>
      <c r="AS217" s="430"/>
      <c r="AT217"/>
      <c r="AU217"/>
      <c r="AV217"/>
      <c r="AW217"/>
      <c r="AX217" s="430"/>
    </row>
    <row r="218" spans="1:54" x14ac:dyDescent="0.25">
      <c r="A218" s="403" t="s">
        <v>393</v>
      </c>
      <c r="B218" s="416"/>
      <c r="C218" t="s">
        <v>399</v>
      </c>
      <c r="G218" s="416"/>
      <c r="H218" t="s">
        <v>400</v>
      </c>
      <c r="L218" s="416"/>
      <c r="M218" t="s">
        <v>401</v>
      </c>
      <c r="Q218" s="416"/>
      <c r="R218" t="s">
        <v>232</v>
      </c>
      <c r="V218" s="416"/>
      <c r="W218" t="s">
        <v>402</v>
      </c>
      <c r="AB218" s="416"/>
      <c r="AC218" s="403" t="s">
        <v>393</v>
      </c>
      <c r="AD218" s="430"/>
      <c r="AE218" t="s">
        <v>399</v>
      </c>
      <c r="AF218"/>
      <c r="AG218"/>
      <c r="AH218"/>
      <c r="AI218" s="430"/>
      <c r="AJ218" t="s">
        <v>400</v>
      </c>
      <c r="AK218"/>
      <c r="AL218"/>
      <c r="AM218"/>
      <c r="AN218" s="430"/>
      <c r="AO218" t="s">
        <v>401</v>
      </c>
      <c r="AP218"/>
      <c r="AQ218"/>
      <c r="AR218"/>
      <c r="AS218" s="430"/>
      <c r="AT218" t="s">
        <v>232</v>
      </c>
      <c r="AU218"/>
      <c r="AV218"/>
      <c r="AW218"/>
      <c r="AX218" s="430"/>
      <c r="AY218" t="s">
        <v>402</v>
      </c>
    </row>
    <row r="219" spans="1:54" x14ac:dyDescent="0.25">
      <c r="A219" s="404" t="s">
        <v>425</v>
      </c>
      <c r="B219" s="416"/>
      <c r="G219" s="416"/>
      <c r="L219" s="416"/>
      <c r="Q219" s="416"/>
      <c r="V219" s="416"/>
      <c r="AB219" s="416"/>
      <c r="AC219" s="404" t="s">
        <v>448</v>
      </c>
      <c r="AD219" s="430"/>
      <c r="AE219"/>
      <c r="AF219"/>
      <c r="AG219"/>
      <c r="AH219"/>
      <c r="AI219" s="430"/>
      <c r="AJ219"/>
      <c r="AK219"/>
      <c r="AL219"/>
      <c r="AM219"/>
      <c r="AN219" s="430"/>
      <c r="AO219"/>
      <c r="AP219"/>
      <c r="AQ219"/>
      <c r="AR219"/>
      <c r="AS219" s="430"/>
      <c r="AT219"/>
      <c r="AU219"/>
      <c r="AV219"/>
      <c r="AW219"/>
      <c r="AX219" s="430"/>
    </row>
    <row r="220" spans="1:54" x14ac:dyDescent="0.25">
      <c r="B220" s="306"/>
      <c r="C220" s="416" t="s">
        <v>386</v>
      </c>
      <c r="D220" s="416" t="s">
        <v>396</v>
      </c>
      <c r="E220" s="416" t="s">
        <v>288</v>
      </c>
      <c r="F220" s="418" t="s">
        <v>406</v>
      </c>
      <c r="G220" s="306"/>
      <c r="H220" s="416" t="s">
        <v>386</v>
      </c>
      <c r="I220" s="416" t="s">
        <v>396</v>
      </c>
      <c r="J220" s="416" t="s">
        <v>288</v>
      </c>
      <c r="K220" s="418" t="s">
        <v>407</v>
      </c>
      <c r="L220" s="306"/>
      <c r="M220" s="416" t="s">
        <v>386</v>
      </c>
      <c r="N220" s="416" t="s">
        <v>396</v>
      </c>
      <c r="O220" s="416" t="s">
        <v>288</v>
      </c>
      <c r="P220" s="411" t="s">
        <v>407</v>
      </c>
      <c r="Q220" s="306"/>
      <c r="R220" s="416" t="s">
        <v>386</v>
      </c>
      <c r="S220" s="416" t="s">
        <v>396</v>
      </c>
      <c r="T220" s="416" t="s">
        <v>288</v>
      </c>
      <c r="U220" s="411" t="s">
        <v>407</v>
      </c>
      <c r="V220" s="306"/>
      <c r="W220" s="416" t="s">
        <v>386</v>
      </c>
      <c r="X220" s="416" t="s">
        <v>396</v>
      </c>
      <c r="Y220" s="416" t="s">
        <v>288</v>
      </c>
      <c r="Z220" s="411" t="s">
        <v>407</v>
      </c>
      <c r="AB220" s="416"/>
      <c r="AC220"/>
      <c r="AD220" s="306"/>
      <c r="AE220" s="430" t="s">
        <v>386</v>
      </c>
      <c r="AF220" s="430" t="s">
        <v>396</v>
      </c>
      <c r="AG220" s="430" t="s">
        <v>288</v>
      </c>
      <c r="AH220" s="418" t="s">
        <v>406</v>
      </c>
      <c r="AI220" s="306"/>
      <c r="AJ220" s="430" t="s">
        <v>386</v>
      </c>
      <c r="AK220" s="430" t="s">
        <v>396</v>
      </c>
      <c r="AL220" s="430" t="s">
        <v>288</v>
      </c>
      <c r="AM220" s="418" t="s">
        <v>407</v>
      </c>
      <c r="AN220" s="306"/>
      <c r="AO220" s="430" t="s">
        <v>386</v>
      </c>
      <c r="AP220" s="430" t="s">
        <v>396</v>
      </c>
      <c r="AQ220" s="430" t="s">
        <v>288</v>
      </c>
      <c r="AR220" s="411" t="s">
        <v>407</v>
      </c>
      <c r="AS220" s="306"/>
      <c r="AT220" s="430" t="s">
        <v>386</v>
      </c>
      <c r="AU220" s="430" t="s">
        <v>396</v>
      </c>
      <c r="AV220" s="430" t="s">
        <v>288</v>
      </c>
      <c r="AW220" s="411" t="s">
        <v>407</v>
      </c>
      <c r="AX220" s="306"/>
      <c r="AY220" s="430" t="s">
        <v>386</v>
      </c>
      <c r="AZ220" s="430" t="s">
        <v>396</v>
      </c>
      <c r="BA220" s="430" t="s">
        <v>288</v>
      </c>
      <c r="BB220" s="411" t="s">
        <v>407</v>
      </c>
    </row>
    <row r="221" spans="1:54" x14ac:dyDescent="0.25">
      <c r="A221" t="s">
        <v>312</v>
      </c>
      <c r="B221" s="106"/>
      <c r="C221" s="415" t="str">
        <f>IF(B221="","",B221*'Tabella Carichi Unitari'!$G$8)</f>
        <v/>
      </c>
      <c r="D221" s="415" t="str">
        <f>IF(B221="","",B221*'Tabella Carichi Unitari'!$H$8)</f>
        <v/>
      </c>
      <c r="E221" s="415" t="str">
        <f>IF(B221="","",B221*'Tabella Carichi Unitari'!$C$8)</f>
        <v/>
      </c>
      <c r="F221" s="415" t="str">
        <f>IF(B221="","",B221*'Tabella Carichi Unitari'!$K$8)</f>
        <v/>
      </c>
      <c r="G221" s="106"/>
      <c r="H221" s="415" t="str">
        <f>IF(G221="","",G221*'Tabella Carichi Unitari'!$G$5)</f>
        <v/>
      </c>
      <c r="I221" s="415" t="str">
        <f>IF(G221="","",G221*'Tabella Carichi Unitari'!$H$5)</f>
        <v/>
      </c>
      <c r="J221" s="415" t="str">
        <f>IF(G221="","",G221*'Tabella Carichi Unitari'!$C$5)</f>
        <v/>
      </c>
      <c r="K221" s="415" t="str">
        <f>IF(G221="","",G221*'Tabella Carichi Unitari'!$K$5)</f>
        <v/>
      </c>
      <c r="L221" s="106"/>
      <c r="M221" s="415" t="str">
        <f>IF(L221="","",L221*'Tabella Carichi Unitari'!$G$5)</f>
        <v/>
      </c>
      <c r="N221" s="415" t="str">
        <f>IF(L221="","",L221*'Tabella Carichi Unitari'!$H$5)</f>
        <v/>
      </c>
      <c r="O221" s="415" t="str">
        <f>IF(L221="","",L221*'Tabella Carichi Unitari'!$C$5)</f>
        <v/>
      </c>
      <c r="P221" s="109" t="str">
        <f>IF(L221="","",L221*'Tabella Carichi Unitari'!$K$5)</f>
        <v/>
      </c>
      <c r="Q221" s="416">
        <v>0.5</v>
      </c>
      <c r="R221" s="415">
        <f>IF(Q221="","",Q221*'Tabella Carichi Unitari'!$G$5)</f>
        <v>2.5061399999999998</v>
      </c>
      <c r="S221" s="415">
        <f>IF(Q221="","",Q221*'Tabella Carichi Unitari'!$H$5)</f>
        <v>1.5</v>
      </c>
      <c r="T221" s="415">
        <f>IF(Q221="","",Q221*'Tabella Carichi Unitari'!$C$5)</f>
        <v>1.9277999999999997</v>
      </c>
      <c r="U221" s="109">
        <f>IF(Q221="","",Q221*'Tabella Carichi Unitari'!$K$5)</f>
        <v>0.3</v>
      </c>
      <c r="V221" s="416">
        <v>0.5</v>
      </c>
      <c r="W221" s="415">
        <f>IF(V221="","",V221*'Tabella Carichi Unitari'!$G$5)</f>
        <v>2.5061399999999998</v>
      </c>
      <c r="X221" s="415">
        <f>IF(V221="","",V221*'Tabella Carichi Unitari'!$H$5)</f>
        <v>1.5</v>
      </c>
      <c r="Y221" s="415">
        <f>IF(V221="","",V221*'Tabella Carichi Unitari'!$C$5)</f>
        <v>1.9277999999999997</v>
      </c>
      <c r="Z221" s="109">
        <f>IF(V221="","",V221*'Tabella Carichi Unitari'!$K$5)</f>
        <v>0.3</v>
      </c>
      <c r="AB221" s="416"/>
      <c r="AC221" t="s">
        <v>312</v>
      </c>
      <c r="AD221" s="106">
        <f>(3.9/2)*1</f>
        <v>1.95</v>
      </c>
      <c r="AE221" s="429">
        <f>IF(AD221="","",AD221*'Tabella Carichi Unitari'!$G$8)</f>
        <v>10.14</v>
      </c>
      <c r="AF221" s="429">
        <f>IF(AD221="","",AD221*'Tabella Carichi Unitari'!$H$8)</f>
        <v>5.85</v>
      </c>
      <c r="AG221" s="429">
        <f>IF(AD221="","",AD221*'Tabella Carichi Unitari'!$C$8)</f>
        <v>7.8</v>
      </c>
      <c r="AH221" s="429">
        <f>IF(AD221="","",AD221*'Tabella Carichi Unitari'!$K$8)</f>
        <v>1.17</v>
      </c>
      <c r="AI221" s="106">
        <f>(3.9/2)*1</f>
        <v>1.95</v>
      </c>
      <c r="AJ221" s="429">
        <f>IF(AI221="","",AI221*'Tabella Carichi Unitari'!$G$5)</f>
        <v>9.7739459999999987</v>
      </c>
      <c r="AK221" s="429">
        <f>IF(AI221="","",AI221*'Tabella Carichi Unitari'!$H$5)</f>
        <v>5.85</v>
      </c>
      <c r="AL221" s="429">
        <f>IF(AI221="","",AI221*'Tabella Carichi Unitari'!$C$5)</f>
        <v>7.518419999999999</v>
      </c>
      <c r="AM221" s="429">
        <f>IF(AI221="","",AI221*'Tabella Carichi Unitari'!$K$5)</f>
        <v>1.17</v>
      </c>
      <c r="AN221" s="106">
        <f>(3.9/2)*1</f>
        <v>1.95</v>
      </c>
      <c r="AO221" s="429">
        <f>IF(AN221="","",AN221*'Tabella Carichi Unitari'!$G$5)</f>
        <v>9.7739459999999987</v>
      </c>
      <c r="AP221" s="429">
        <f>IF(AN221="","",AN221*'Tabella Carichi Unitari'!$H$5)</f>
        <v>5.85</v>
      </c>
      <c r="AQ221" s="429">
        <f>IF(AN221="","",AN221*'Tabella Carichi Unitari'!$C$5)</f>
        <v>7.518419999999999</v>
      </c>
      <c r="AR221" s="109">
        <f>IF(AN221="","",AN221*'Tabella Carichi Unitari'!$K$5)</f>
        <v>1.17</v>
      </c>
      <c r="AS221" s="430">
        <f>(3.9/2)*1</f>
        <v>1.95</v>
      </c>
      <c r="AT221" s="429">
        <f>IF(AS221="","",AS221*'Tabella Carichi Unitari'!$G$5)</f>
        <v>9.7739459999999987</v>
      </c>
      <c r="AU221" s="429">
        <f>IF(AS221="","",AS221*'Tabella Carichi Unitari'!$H$5)</f>
        <v>5.85</v>
      </c>
      <c r="AV221" s="429">
        <f>IF(AS221="","",AS221*'Tabella Carichi Unitari'!$C$5)</f>
        <v>7.518419999999999</v>
      </c>
      <c r="AW221" s="109">
        <f>IF(AS221="","",AS221*'Tabella Carichi Unitari'!$K$5)</f>
        <v>1.17</v>
      </c>
      <c r="AX221" s="430">
        <f>(3.9/2)*1</f>
        <v>1.95</v>
      </c>
      <c r="AY221" s="429">
        <f>IF(AX221="","",AX221*'Tabella Carichi Unitari'!$G$5)</f>
        <v>9.7739459999999987</v>
      </c>
      <c r="AZ221" s="429">
        <f>IF(AX221="","",AX221*'Tabella Carichi Unitari'!$H$5)</f>
        <v>5.85</v>
      </c>
      <c r="BA221" s="429">
        <f>IF(AX221="","",AX221*'Tabella Carichi Unitari'!$C$5)</f>
        <v>7.518419999999999</v>
      </c>
      <c r="BB221" s="109">
        <f>IF(AX221="","",AX221*'Tabella Carichi Unitari'!$K$5)</f>
        <v>1.17</v>
      </c>
    </row>
    <row r="222" spans="1:54" x14ac:dyDescent="0.25">
      <c r="A222" t="s">
        <v>314</v>
      </c>
      <c r="B222" s="106">
        <f>(0.5+0.15)*2</f>
        <v>1.3</v>
      </c>
      <c r="C222" s="415">
        <f>IF(B222="","",B222*'Tabella Carichi Unitari'!$G$11)</f>
        <v>6.5910000000000002</v>
      </c>
      <c r="D222" s="415">
        <f>IF(B222="","",B222*'Tabella Carichi Unitari'!$H$11)</f>
        <v>0.97500000000000009</v>
      </c>
      <c r="E222" s="415">
        <f>IF(B222="","",B222*'Tabella Carichi Unitari'!$C$11)</f>
        <v>5.07</v>
      </c>
      <c r="F222" s="415">
        <f>IF(B222="","",B222*'Tabella Carichi Unitari'!$K$11)</f>
        <v>0</v>
      </c>
      <c r="G222" s="106">
        <f>B222</f>
        <v>1.3</v>
      </c>
      <c r="H222" s="415">
        <f>IF(G222="","",G222*'Tabella Carichi Unitari'!$G$10)</f>
        <v>6.9458999999999991</v>
      </c>
      <c r="I222" s="415">
        <f>IF(G222="","",G222*'Tabella Carichi Unitari'!$H$10)</f>
        <v>7.8000000000000007</v>
      </c>
      <c r="J222" s="415">
        <f>IF(G222="","",G222*'Tabella Carichi Unitari'!$C$10)</f>
        <v>5.3429999999999991</v>
      </c>
      <c r="K222" s="415">
        <f>IF(G222="","",G222*'Tabella Carichi Unitari'!$K$10)</f>
        <v>3.12</v>
      </c>
      <c r="L222" s="106">
        <f>B222</f>
        <v>1.3</v>
      </c>
      <c r="M222" s="415">
        <f>IF(L222="","",L222*'Tabella Carichi Unitari'!$G$10)</f>
        <v>6.9458999999999991</v>
      </c>
      <c r="N222" s="415">
        <f>IF(L222="","",L222*'Tabella Carichi Unitari'!$H$10)</f>
        <v>7.8000000000000007</v>
      </c>
      <c r="O222" s="415">
        <f>IF(L222="","",L222*'Tabella Carichi Unitari'!$C$10)</f>
        <v>5.3429999999999991</v>
      </c>
      <c r="P222" s="109">
        <f>IF(L222="","",L222*'Tabella Carichi Unitari'!$K$10)</f>
        <v>3.12</v>
      </c>
      <c r="Q222" s="416"/>
      <c r="R222" s="415" t="str">
        <f>IF(Q222="","",Q222*'Tabella Carichi Unitari'!$G$10)</f>
        <v/>
      </c>
      <c r="S222" s="415" t="str">
        <f>IF(Q222="","",Q222*'Tabella Carichi Unitari'!$H$10)</f>
        <v/>
      </c>
      <c r="T222" s="415" t="str">
        <f>IF(Q222="","",Q222*'Tabella Carichi Unitari'!$C$10)</f>
        <v/>
      </c>
      <c r="U222" s="109" t="str">
        <f>IF(Q222="","",Q222*'Tabella Carichi Unitari'!$K$10)</f>
        <v/>
      </c>
      <c r="V222" s="416"/>
      <c r="W222" s="415" t="str">
        <f>IF(V222="","",V222*'Tabella Carichi Unitari'!$G$10)</f>
        <v/>
      </c>
      <c r="X222" s="415" t="str">
        <f>IF(V222="","",V222*'Tabella Carichi Unitari'!$H$10)</f>
        <v/>
      </c>
      <c r="Y222" s="415" t="str">
        <f>IF(V222="","",V222*'Tabella Carichi Unitari'!$C$10)</f>
        <v/>
      </c>
      <c r="Z222" s="109" t="str">
        <f>IF(V222="","",V222*'Tabella Carichi Unitari'!$K$10)</f>
        <v/>
      </c>
      <c r="AB222" s="416"/>
      <c r="AC222" t="s">
        <v>314</v>
      </c>
      <c r="AD222" s="106">
        <f>(0.5+0.15)</f>
        <v>0.65</v>
      </c>
      <c r="AE222" s="429">
        <f>IF(AD222="","",AD222*'Tabella Carichi Unitari'!$G$11)</f>
        <v>3.2955000000000001</v>
      </c>
      <c r="AF222" s="429">
        <f>IF(AD222="","",AD222*'Tabella Carichi Unitari'!$H$11)</f>
        <v>0.48750000000000004</v>
      </c>
      <c r="AG222" s="429">
        <f>IF(AD222="","",AD222*'Tabella Carichi Unitari'!$C$11)</f>
        <v>2.5350000000000001</v>
      </c>
      <c r="AH222" s="429">
        <f>IF(AD222="","",AD222*'Tabella Carichi Unitari'!$K$11)</f>
        <v>0</v>
      </c>
      <c r="AI222" s="106">
        <f>AD222</f>
        <v>0.65</v>
      </c>
      <c r="AJ222" s="429">
        <f>IF(AI222="","",AI222*'Tabella Carichi Unitari'!$G$10)</f>
        <v>3.4729499999999995</v>
      </c>
      <c r="AK222" s="429">
        <f>IF(AI222="","",AI222*'Tabella Carichi Unitari'!$H$10)</f>
        <v>3.9000000000000004</v>
      </c>
      <c r="AL222" s="429">
        <f>IF(AI222="","",AI222*'Tabella Carichi Unitari'!$C$10)</f>
        <v>2.6714999999999995</v>
      </c>
      <c r="AM222" s="429">
        <f>IF(AI222="","",AI222*'Tabella Carichi Unitari'!$K$10)</f>
        <v>1.56</v>
      </c>
      <c r="AN222" s="106">
        <f>AD222</f>
        <v>0.65</v>
      </c>
      <c r="AO222" s="429">
        <f>IF(AN222="","",AN222*'Tabella Carichi Unitari'!$G$10)</f>
        <v>3.4729499999999995</v>
      </c>
      <c r="AP222" s="429">
        <f>IF(AN222="","",AN222*'Tabella Carichi Unitari'!$H$10)</f>
        <v>3.9000000000000004</v>
      </c>
      <c r="AQ222" s="429">
        <f>IF(AN222="","",AN222*'Tabella Carichi Unitari'!$C$10)</f>
        <v>2.6714999999999995</v>
      </c>
      <c r="AR222" s="109">
        <f>IF(AN222="","",AN222*'Tabella Carichi Unitari'!$K$10)</f>
        <v>1.56</v>
      </c>
      <c r="AS222" s="430"/>
      <c r="AT222" s="429" t="str">
        <f>IF(AS222="","",AS222*'Tabella Carichi Unitari'!$G$10)</f>
        <v/>
      </c>
      <c r="AU222" s="429" t="str">
        <f>IF(AS222="","",AS222*'Tabella Carichi Unitari'!$H$10)</f>
        <v/>
      </c>
      <c r="AV222" s="429" t="str">
        <f>IF(AS222="","",AS222*'Tabella Carichi Unitari'!$C$10)</f>
        <v/>
      </c>
      <c r="AW222" s="109" t="str">
        <f>IF(AS222="","",AS222*'Tabella Carichi Unitari'!$K$10)</f>
        <v/>
      </c>
      <c r="AX222" s="430"/>
      <c r="AY222" s="429" t="str">
        <f>IF(AX222="","",AX222*'Tabella Carichi Unitari'!$G$10)</f>
        <v/>
      </c>
      <c r="AZ222" s="429" t="str">
        <f>IF(AX222="","",AX222*'Tabella Carichi Unitari'!$H$10)</f>
        <v/>
      </c>
      <c r="BA222" s="429" t="str">
        <f>IF(AX222="","",AX222*'Tabella Carichi Unitari'!$C$10)</f>
        <v/>
      </c>
      <c r="BB222" s="109" t="str">
        <f>IF(AX222="","",AX222*'Tabella Carichi Unitari'!$K$10)</f>
        <v/>
      </c>
    </row>
    <row r="223" spans="1:54" x14ac:dyDescent="0.25">
      <c r="A223" t="s">
        <v>315</v>
      </c>
      <c r="B223" s="106"/>
      <c r="C223" s="415" t="str">
        <f>IF(B223="","",B223*'Tabella Carichi Unitari'!$G$12)</f>
        <v/>
      </c>
      <c r="D223" s="415" t="str">
        <f>IF(B223="","",B223*'Tabella Carichi Unitari'!$H$12)</f>
        <v/>
      </c>
      <c r="E223" s="415" t="str">
        <f>IF(B223="","",B223*'Tabella Carichi Unitari'!$C$12)</f>
        <v/>
      </c>
      <c r="F223" s="415" t="str">
        <f>IF(B223="","",B223*'Tabella Carichi Unitari'!$K$12)</f>
        <v/>
      </c>
      <c r="G223" s="106"/>
      <c r="H223" s="415" t="str">
        <f>IF(G223="","",G223*'Tabella Carichi Unitari'!$G$12)</f>
        <v/>
      </c>
      <c r="I223" s="415" t="str">
        <f>IF(G223="","",G223*'Tabella Carichi Unitari'!$H$12)</f>
        <v/>
      </c>
      <c r="J223" s="415" t="str">
        <f>IF(G223="","",G223*'Tabella Carichi Unitari'!$C$12)</f>
        <v/>
      </c>
      <c r="K223" s="415" t="str">
        <f>IF(G223="","",G223*'Tabella Carichi Unitari'!$K$12)</f>
        <v/>
      </c>
      <c r="L223" s="106"/>
      <c r="M223" s="415" t="str">
        <f>IF(L223="","",L223*'Tabella Carichi Unitari'!$G$12)</f>
        <v/>
      </c>
      <c r="N223" s="415" t="str">
        <f>IF(L223="","",L223*'Tabella Carichi Unitari'!$H$12)</f>
        <v/>
      </c>
      <c r="O223" s="415" t="str">
        <f>IF(L223="","",L223*'Tabella Carichi Unitari'!$C$12)</f>
        <v/>
      </c>
      <c r="P223" s="109" t="str">
        <f>IF(L223="","",L223*'Tabella Carichi Unitari'!$K$12)</f>
        <v/>
      </c>
      <c r="Q223" s="416"/>
      <c r="R223" s="415" t="str">
        <f>IF(Q223="","",Q223*'Tabella Carichi Unitari'!$G$12)</f>
        <v/>
      </c>
      <c r="S223" s="415" t="str">
        <f>IF(Q223="","",Q223*'Tabella Carichi Unitari'!$H$12)</f>
        <v/>
      </c>
      <c r="T223" s="415" t="str">
        <f>IF(Q223="","",Q223*'Tabella Carichi Unitari'!$C$12)</f>
        <v/>
      </c>
      <c r="U223" s="109" t="str">
        <f>IF(Q223="","",Q223*'Tabella Carichi Unitari'!$K$12)</f>
        <v/>
      </c>
      <c r="V223" s="416"/>
      <c r="W223" s="415" t="str">
        <f>IF(V223="","",V223*'Tabella Carichi Unitari'!$G$12)</f>
        <v/>
      </c>
      <c r="X223" s="415" t="str">
        <f>IF(V223="","",V223*'Tabella Carichi Unitari'!$H$12)</f>
        <v/>
      </c>
      <c r="Y223" s="415" t="str">
        <f>IF(V223="","",V223*'Tabella Carichi Unitari'!$C$12)</f>
        <v/>
      </c>
      <c r="Z223" s="109" t="str">
        <f>IF(V223="","",V223*'Tabella Carichi Unitari'!$K$12)</f>
        <v/>
      </c>
      <c r="AB223" s="416"/>
      <c r="AC223" t="s">
        <v>315</v>
      </c>
      <c r="AD223" s="106"/>
      <c r="AE223" s="429" t="str">
        <f>IF(AD223="","",AD223*'Tabella Carichi Unitari'!$G$12)</f>
        <v/>
      </c>
      <c r="AF223" s="429" t="str">
        <f>IF(AD223="","",AD223*'Tabella Carichi Unitari'!$H$12)</f>
        <v/>
      </c>
      <c r="AG223" s="429" t="str">
        <f>IF(AD223="","",AD223*'Tabella Carichi Unitari'!$C$12)</f>
        <v/>
      </c>
      <c r="AH223" s="429" t="str">
        <f>IF(AD223="","",AD223*'Tabella Carichi Unitari'!$K$12)</f>
        <v/>
      </c>
      <c r="AI223" s="106"/>
      <c r="AJ223" s="429" t="str">
        <f>IF(AI223="","",AI223*'Tabella Carichi Unitari'!$G$12)</f>
        <v/>
      </c>
      <c r="AK223" s="429" t="str">
        <f>IF(AI223="","",AI223*'Tabella Carichi Unitari'!$H$12)</f>
        <v/>
      </c>
      <c r="AL223" s="429" t="str">
        <f>IF(AI223="","",AI223*'Tabella Carichi Unitari'!$C$12)</f>
        <v/>
      </c>
      <c r="AM223" s="429" t="str">
        <f>IF(AI223="","",AI223*'Tabella Carichi Unitari'!$K$12)</f>
        <v/>
      </c>
      <c r="AN223" s="106"/>
      <c r="AO223" s="429" t="str">
        <f>IF(AN223="","",AN223*'Tabella Carichi Unitari'!$G$12)</f>
        <v/>
      </c>
      <c r="AP223" s="429" t="str">
        <f>IF(AN223="","",AN223*'Tabella Carichi Unitari'!$H$12)</f>
        <v/>
      </c>
      <c r="AQ223" s="429" t="str">
        <f>IF(AN223="","",AN223*'Tabella Carichi Unitari'!$C$12)</f>
        <v/>
      </c>
      <c r="AR223" s="109" t="str">
        <f>IF(AN223="","",AN223*'Tabella Carichi Unitari'!$K$12)</f>
        <v/>
      </c>
      <c r="AS223" s="430"/>
      <c r="AT223" s="429" t="str">
        <f>IF(AS223="","",AS223*'Tabella Carichi Unitari'!$G$12)</f>
        <v/>
      </c>
      <c r="AU223" s="429" t="str">
        <f>IF(AS223="","",AS223*'Tabella Carichi Unitari'!$H$12)</f>
        <v/>
      </c>
      <c r="AV223" s="429" t="str">
        <f>IF(AS223="","",AS223*'Tabella Carichi Unitari'!$C$12)</f>
        <v/>
      </c>
      <c r="AW223" s="109" t="str">
        <f>IF(AS223="","",AS223*'Tabella Carichi Unitari'!$K$12)</f>
        <v/>
      </c>
      <c r="AX223" s="430"/>
      <c r="AY223" s="429" t="str">
        <f>IF(AX223="","",AX223*'Tabella Carichi Unitari'!$G$12)</f>
        <v/>
      </c>
      <c r="AZ223" s="429" t="str">
        <f>IF(AX223="","",AX223*'Tabella Carichi Unitari'!$H$12)</f>
        <v/>
      </c>
      <c r="BA223" s="429" t="str">
        <f>IF(AX223="","",AX223*'Tabella Carichi Unitari'!$C$12)</f>
        <v/>
      </c>
      <c r="BB223" s="109" t="str">
        <f>IF(AX223="","",AX223*'Tabella Carichi Unitari'!$K$12)</f>
        <v/>
      </c>
    </row>
    <row r="224" spans="1:54" x14ac:dyDescent="0.25">
      <c r="A224" t="s">
        <v>391</v>
      </c>
      <c r="B224" s="306">
        <v>1</v>
      </c>
      <c r="C224" s="415">
        <f>IF(B224="","",B224*'Tabella Carichi Unitari'!$G$15)</f>
        <v>3.8415000000000004</v>
      </c>
      <c r="D224" s="415">
        <f>IF(B224="","",B224*'Tabella Carichi Unitari'!$H$15)</f>
        <v>0</v>
      </c>
      <c r="E224" s="415">
        <f>IF(B224="","",B224*'Tabella Carichi Unitari'!$C$15)</f>
        <v>2.9550000000000001</v>
      </c>
      <c r="F224" s="415">
        <f>IF(B224="","",B224*'Tabella Carichi Unitari'!$K$15)</f>
        <v>0</v>
      </c>
      <c r="G224" s="306">
        <v>1</v>
      </c>
      <c r="H224" s="415">
        <f>IF(G224="","",G224*'Tabella Carichi Unitari'!$G$14)</f>
        <v>4.8165000000000004</v>
      </c>
      <c r="I224" s="415">
        <f>IF(G224="","",G224*'Tabella Carichi Unitari'!$H$14)</f>
        <v>0</v>
      </c>
      <c r="J224" s="415">
        <f>IF(G224="","",G224*'Tabella Carichi Unitari'!$C$14)</f>
        <v>3.7050000000000001</v>
      </c>
      <c r="K224" s="415">
        <f>IF(G224="","",G224*'Tabella Carichi Unitari'!$K$14)</f>
        <v>0</v>
      </c>
      <c r="L224" s="306">
        <v>1</v>
      </c>
      <c r="M224" s="415">
        <f>IF(L224="","",L224*'Tabella Carichi Unitari'!$G$13)</f>
        <v>5.7915000000000001</v>
      </c>
      <c r="N224" s="415">
        <f>IF(L224="","",L224*'Tabella Carichi Unitari'!$H$13)</f>
        <v>0</v>
      </c>
      <c r="O224" s="415">
        <f>IF(L224="","",L224*'Tabella Carichi Unitari'!$C$13)</f>
        <v>4.4550000000000001</v>
      </c>
      <c r="P224" s="109">
        <f>IF(L224="","",L224*'Tabella Carichi Unitari'!$K$13)</f>
        <v>0</v>
      </c>
      <c r="Q224" s="416">
        <v>1</v>
      </c>
      <c r="R224" s="415">
        <f>IF(Q224="","",Q224*'Tabella Carichi Unitari'!$G$13)</f>
        <v>5.7915000000000001</v>
      </c>
      <c r="S224" s="415">
        <f>IF(Q224="","",Q224*'Tabella Carichi Unitari'!$H$13)</f>
        <v>0</v>
      </c>
      <c r="T224" s="415">
        <f>IF(Q224="","",Q224*'Tabella Carichi Unitari'!$C$13)</f>
        <v>4.4550000000000001</v>
      </c>
      <c r="U224" s="109">
        <f>IF(Q224="","",Q224*'Tabella Carichi Unitari'!$K$13)</f>
        <v>0</v>
      </c>
      <c r="V224" s="416">
        <v>1</v>
      </c>
      <c r="W224" s="415">
        <f>IF(V224="","",V224*'Tabella Carichi Unitari'!$G$13)</f>
        <v>5.7915000000000001</v>
      </c>
      <c r="X224" s="415">
        <f>IF(V224="","",V224*'Tabella Carichi Unitari'!$H$13)</f>
        <v>0</v>
      </c>
      <c r="Y224" s="415">
        <f>IF(V224="","",V224*'Tabella Carichi Unitari'!$C$13)</f>
        <v>4.4550000000000001</v>
      </c>
      <c r="Z224" s="109">
        <f>IF(V224="","",V224*'Tabella Carichi Unitari'!$K$13)</f>
        <v>0</v>
      </c>
      <c r="AB224" s="416"/>
      <c r="AC224" t="s">
        <v>391</v>
      </c>
      <c r="AD224" s="306">
        <v>1</v>
      </c>
      <c r="AE224" s="429">
        <f>IF(AD224="","",AD224*'Tabella Carichi Unitari'!$G$15)</f>
        <v>3.8415000000000004</v>
      </c>
      <c r="AF224" s="429">
        <f>IF(AD224="","",AD224*'Tabella Carichi Unitari'!$H$15)</f>
        <v>0</v>
      </c>
      <c r="AG224" s="429">
        <f>IF(AD224="","",AD224*'Tabella Carichi Unitari'!$C$15)</f>
        <v>2.9550000000000001</v>
      </c>
      <c r="AH224" s="429">
        <f>IF(AD224="","",AD224*'Tabella Carichi Unitari'!$K$15)</f>
        <v>0</v>
      </c>
      <c r="AI224" s="306">
        <v>1</v>
      </c>
      <c r="AJ224" s="429">
        <f>IF(AI224="","",AI224*'Tabella Carichi Unitari'!$G$14)</f>
        <v>4.8165000000000004</v>
      </c>
      <c r="AK224" s="429">
        <f>IF(AI224="","",AI224*'Tabella Carichi Unitari'!$H$14)</f>
        <v>0</v>
      </c>
      <c r="AL224" s="429">
        <f>IF(AI224="","",AI224*'Tabella Carichi Unitari'!$C$14)</f>
        <v>3.7050000000000001</v>
      </c>
      <c r="AM224" s="429">
        <f>IF(AI224="","",AI224*'Tabella Carichi Unitari'!$K$14)</f>
        <v>0</v>
      </c>
      <c r="AN224" s="306">
        <v>1</v>
      </c>
      <c r="AO224" s="429">
        <f>IF(AN224="","",AN224*'Tabella Carichi Unitari'!$G$13)</f>
        <v>5.7915000000000001</v>
      </c>
      <c r="AP224" s="429">
        <f>IF(AN224="","",AN224*'Tabella Carichi Unitari'!$H$13)</f>
        <v>0</v>
      </c>
      <c r="AQ224" s="429">
        <f>IF(AN224="","",AN224*'Tabella Carichi Unitari'!$C$13)</f>
        <v>4.4550000000000001</v>
      </c>
      <c r="AR224" s="109">
        <f>IF(AN224="","",AN224*'Tabella Carichi Unitari'!$K$13)</f>
        <v>0</v>
      </c>
      <c r="AS224" s="430">
        <v>1</v>
      </c>
      <c r="AT224" s="429">
        <f>IF(AS224="","",AS224*'Tabella Carichi Unitari'!$G$13)</f>
        <v>5.7915000000000001</v>
      </c>
      <c r="AU224" s="429">
        <f>IF(AS224="","",AS224*'Tabella Carichi Unitari'!$H$13)</f>
        <v>0</v>
      </c>
      <c r="AV224" s="429">
        <f>IF(AS224="","",AS224*'Tabella Carichi Unitari'!$C$13)</f>
        <v>4.4550000000000001</v>
      </c>
      <c r="AW224" s="109">
        <f>IF(AS224="","",AS224*'Tabella Carichi Unitari'!$K$13)</f>
        <v>0</v>
      </c>
      <c r="AX224" s="430">
        <v>1</v>
      </c>
      <c r="AY224" s="429">
        <f>IF(AX224="","",AX224*'Tabella Carichi Unitari'!$G$13)</f>
        <v>5.7915000000000001</v>
      </c>
      <c r="AZ224" s="429">
        <f>IF(AX224="","",AX224*'Tabella Carichi Unitari'!$H$13)</f>
        <v>0</v>
      </c>
      <c r="BA224" s="429">
        <f>IF(AX224="","",AX224*'Tabella Carichi Unitari'!$C$13)</f>
        <v>4.4550000000000001</v>
      </c>
      <c r="BB224" s="109">
        <f>IF(AX224="","",AX224*'Tabella Carichi Unitari'!$K$13)</f>
        <v>0</v>
      </c>
    </row>
    <row r="225" spans="1:54" x14ac:dyDescent="0.25">
      <c r="A225" t="s">
        <v>392</v>
      </c>
      <c r="B225" s="306"/>
      <c r="C225" s="415" t="str">
        <f>IF(B225="","",B225*'Tabella Carichi Unitari'!$G$16)</f>
        <v/>
      </c>
      <c r="D225" s="415" t="str">
        <f>IF(B225="","",B225*'Tabella Carichi Unitari'!$H$16)</f>
        <v/>
      </c>
      <c r="E225" s="415" t="str">
        <f>IF(B225="","",B225*'Tabella Carichi Unitari'!$C$16)</f>
        <v/>
      </c>
      <c r="F225" s="415" t="str">
        <f>IF(B225="","",B225*'Tabella Carichi Unitari'!$K$16)</f>
        <v/>
      </c>
      <c r="G225" s="306"/>
      <c r="H225" s="415" t="str">
        <f>IF(G225="","",G225*'Tabella Carichi Unitari'!$G$16)</f>
        <v/>
      </c>
      <c r="I225" s="415" t="str">
        <f>IF(G225="","",G225*'Tabella Carichi Unitari'!$H$16)</f>
        <v/>
      </c>
      <c r="J225" s="415" t="str">
        <f>IF(G225="","",G225*'Tabella Carichi Unitari'!$C$16)</f>
        <v/>
      </c>
      <c r="K225" s="415" t="str">
        <f>IF(G225="","",G225*'Tabella Carichi Unitari'!$K$16)</f>
        <v/>
      </c>
      <c r="L225" s="306"/>
      <c r="M225" s="415" t="str">
        <f>IF(L225="","",L225*'Tabella Carichi Unitari'!$G$9)</f>
        <v/>
      </c>
      <c r="N225" s="415" t="str">
        <f>IF(L225="","",L225*'Tabella Carichi Unitari'!$H$9)</f>
        <v/>
      </c>
      <c r="O225" s="415" t="str">
        <f>IF(L225="","",L225*'Tabella Carichi Unitari'!$C$9)</f>
        <v/>
      </c>
      <c r="P225" s="109" t="str">
        <f>IF(L225="","",L225*'Tabella Carichi Unitari'!$K$9)</f>
        <v/>
      </c>
      <c r="Q225" s="416"/>
      <c r="R225" s="415" t="str">
        <f>IF(Q225="","",Q225*'Tabella Carichi Unitari'!$G$9)</f>
        <v/>
      </c>
      <c r="S225" s="415" t="str">
        <f>IF(Q225="","",Q225*'Tabella Carichi Unitari'!$H$9)</f>
        <v/>
      </c>
      <c r="T225" s="415" t="str">
        <f>IF(Q225="","",Q225*'Tabella Carichi Unitari'!$C$9)</f>
        <v/>
      </c>
      <c r="U225" s="109" t="str">
        <f>IF(Q225="","",Q225*'Tabella Carichi Unitari'!$K$9)</f>
        <v/>
      </c>
      <c r="V225" s="416"/>
      <c r="W225" s="415" t="str">
        <f>IF(V225="","",V225*'Tabella Carichi Unitari'!$G$9)</f>
        <v/>
      </c>
      <c r="X225" s="415" t="str">
        <f>IF(V225="","",V225*'Tabella Carichi Unitari'!$H$9)</f>
        <v/>
      </c>
      <c r="Y225" s="415" t="str">
        <f>IF(V225="","",V225*'Tabella Carichi Unitari'!$C$9)</f>
        <v/>
      </c>
      <c r="Z225" s="109" t="str">
        <f>IF(V225="","",V225*'Tabella Carichi Unitari'!$K$9)</f>
        <v/>
      </c>
      <c r="AB225" s="416"/>
      <c r="AC225" t="s">
        <v>392</v>
      </c>
      <c r="AD225" s="306"/>
      <c r="AE225" s="429" t="str">
        <f>IF(AD225="","",AD225*'Tabella Carichi Unitari'!$G$16)</f>
        <v/>
      </c>
      <c r="AF225" s="429" t="str">
        <f>IF(AD225="","",AD225*'Tabella Carichi Unitari'!$H$16)</f>
        <v/>
      </c>
      <c r="AG225" s="429" t="str">
        <f>IF(AD225="","",AD225*'Tabella Carichi Unitari'!$C$16)</f>
        <v/>
      </c>
      <c r="AH225" s="429" t="str">
        <f>IF(AD225="","",AD225*'Tabella Carichi Unitari'!$K$16)</f>
        <v/>
      </c>
      <c r="AI225" s="306"/>
      <c r="AJ225" s="429" t="str">
        <f>IF(AI225="","",AI225*'Tabella Carichi Unitari'!$G$16)</f>
        <v/>
      </c>
      <c r="AK225" s="429" t="str">
        <f>IF(AI225="","",AI225*'Tabella Carichi Unitari'!$H$16)</f>
        <v/>
      </c>
      <c r="AL225" s="429" t="str">
        <f>IF(AI225="","",AI225*'Tabella Carichi Unitari'!$C$16)</f>
        <v/>
      </c>
      <c r="AM225" s="429" t="str">
        <f>IF(AI225="","",AI225*'Tabella Carichi Unitari'!$K$16)</f>
        <v/>
      </c>
      <c r="AN225" s="306"/>
      <c r="AO225" s="429" t="str">
        <f>IF(AN225="","",AN225*'Tabella Carichi Unitari'!$G$9)</f>
        <v/>
      </c>
      <c r="AP225" s="429" t="str">
        <f>IF(AN225="","",AN225*'Tabella Carichi Unitari'!$H$9)</f>
        <v/>
      </c>
      <c r="AQ225" s="429" t="str">
        <f>IF(AN225="","",AN225*'Tabella Carichi Unitari'!$C$9)</f>
        <v/>
      </c>
      <c r="AR225" s="109" t="str">
        <f>IF(AN225="","",AN225*'Tabella Carichi Unitari'!$K$9)</f>
        <v/>
      </c>
      <c r="AS225" s="430"/>
      <c r="AT225" s="429" t="str">
        <f>IF(AS225="","",AS225*'Tabella Carichi Unitari'!$G$9)</f>
        <v/>
      </c>
      <c r="AU225" s="429" t="str">
        <f>IF(AS225="","",AS225*'Tabella Carichi Unitari'!$H$9)</f>
        <v/>
      </c>
      <c r="AV225" s="429" t="str">
        <f>IF(AS225="","",AS225*'Tabella Carichi Unitari'!$C$9)</f>
        <v/>
      </c>
      <c r="AW225" s="109" t="str">
        <f>IF(AS225="","",AS225*'Tabella Carichi Unitari'!$K$9)</f>
        <v/>
      </c>
      <c r="AX225" s="430"/>
      <c r="AY225" s="429" t="str">
        <f>IF(AX225="","",AX225*'Tabella Carichi Unitari'!$G$9)</f>
        <v/>
      </c>
      <c r="AZ225" s="429" t="str">
        <f>IF(AX225="","",AX225*'Tabella Carichi Unitari'!$H$9)</f>
        <v/>
      </c>
      <c r="BA225" s="429" t="str">
        <f>IF(AX225="","",AX225*'Tabella Carichi Unitari'!$C$9)</f>
        <v/>
      </c>
      <c r="BB225" s="109" t="str">
        <f>IF(AX225="","",AX225*'Tabella Carichi Unitari'!$K$9)</f>
        <v/>
      </c>
    </row>
    <row r="226" spans="1:54" x14ac:dyDescent="0.25">
      <c r="A226" t="s">
        <v>313</v>
      </c>
      <c r="B226" s="306"/>
      <c r="C226" s="168" t="str">
        <f>IF(B226="","",B226*'Tabella Carichi Unitari'!$G$17)</f>
        <v/>
      </c>
      <c r="D226" s="168" t="str">
        <f>IF(B226="","",B226*'Tabella Carichi Unitari'!$H$17)</f>
        <v/>
      </c>
      <c r="E226" s="168" t="str">
        <f>IF(B226="","",B226*'Tabella Carichi Unitari'!$C$17)</f>
        <v/>
      </c>
      <c r="F226" s="110" t="str">
        <f>IF(B226="","",B226*'Tabella Carichi Unitari'!$K$17)</f>
        <v/>
      </c>
      <c r="G226" s="306">
        <v>0.9</v>
      </c>
      <c r="H226" s="168">
        <f>IF(G226="","",G226*'Tabella Carichi Unitari'!$G$17)</f>
        <v>6.7860000000000014</v>
      </c>
      <c r="I226" s="168">
        <f>IF(G226="","",G226*'Tabella Carichi Unitari'!$H$17)</f>
        <v>0</v>
      </c>
      <c r="J226" s="168">
        <f>IF(G226="","",G226*'Tabella Carichi Unitari'!$C$17)</f>
        <v>5.2200000000000006</v>
      </c>
      <c r="K226" s="110">
        <f>IF(G226="","",G226*'Tabella Carichi Unitari'!$K$17)</f>
        <v>0</v>
      </c>
      <c r="L226" s="306">
        <v>0.9</v>
      </c>
      <c r="M226" s="168">
        <f>IF(L226="","",L226*'Tabella Carichi Unitari'!$G$17)</f>
        <v>6.7860000000000014</v>
      </c>
      <c r="N226" s="168">
        <f>IF(L226="","",L226*'Tabella Carichi Unitari'!$H$17)</f>
        <v>0</v>
      </c>
      <c r="O226" s="168">
        <f>IF(L226="","",L226*'Tabella Carichi Unitari'!$C$17)</f>
        <v>5.2200000000000006</v>
      </c>
      <c r="P226" s="110">
        <f>IF(L226="","",L226*'Tabella Carichi Unitari'!$K$17)</f>
        <v>0</v>
      </c>
      <c r="Q226" s="416">
        <v>0.9</v>
      </c>
      <c r="R226" s="168">
        <f>IF(Q226="","",Q226*'Tabella Carichi Unitari'!$G$17)</f>
        <v>6.7860000000000014</v>
      </c>
      <c r="S226" s="168">
        <f>IF(Q226="","",Q226*'Tabella Carichi Unitari'!$H$17)</f>
        <v>0</v>
      </c>
      <c r="T226" s="168">
        <f>IF(Q226="","",Q226*'Tabella Carichi Unitari'!$C$17)</f>
        <v>5.2200000000000006</v>
      </c>
      <c r="U226" s="110">
        <f>IF(Q226="","",Q226*'Tabella Carichi Unitari'!$K$17)</f>
        <v>0</v>
      </c>
      <c r="V226" s="416">
        <v>0.9</v>
      </c>
      <c r="W226" s="168">
        <f>IF(V226="","",V226*'Tabella Carichi Unitari'!$G$17)</f>
        <v>6.7860000000000014</v>
      </c>
      <c r="X226" s="168">
        <f>IF(V226="","",V226*'Tabella Carichi Unitari'!$H$17)</f>
        <v>0</v>
      </c>
      <c r="Y226" s="168">
        <f>IF(V226="","",V226*'Tabella Carichi Unitari'!$C$17)</f>
        <v>5.2200000000000006</v>
      </c>
      <c r="Z226" s="110">
        <f>IF(V226="","",V226*'Tabella Carichi Unitari'!$K$17)</f>
        <v>0</v>
      </c>
      <c r="AB226" s="416"/>
      <c r="AC226" t="s">
        <v>313</v>
      </c>
      <c r="AD226" s="306"/>
      <c r="AE226" s="168" t="str">
        <f>IF(AD226="","",AD226*'Tabella Carichi Unitari'!$G$17)</f>
        <v/>
      </c>
      <c r="AF226" s="168" t="str">
        <f>IF(AD226="","",AD226*'Tabella Carichi Unitari'!$H$17)</f>
        <v/>
      </c>
      <c r="AG226" s="168" t="str">
        <f>IF(AD226="","",AD226*'Tabella Carichi Unitari'!$C$17)</f>
        <v/>
      </c>
      <c r="AH226" s="110" t="str">
        <f>IF(AD226="","",AD226*'Tabella Carichi Unitari'!$K$17)</f>
        <v/>
      </c>
      <c r="AI226" s="306">
        <v>0.9</v>
      </c>
      <c r="AJ226" s="168">
        <f>IF(AI226="","",AI226*'Tabella Carichi Unitari'!$G$17)</f>
        <v>6.7860000000000014</v>
      </c>
      <c r="AK226" s="168">
        <f>IF(AI226="","",AI226*'Tabella Carichi Unitari'!$H$17)</f>
        <v>0</v>
      </c>
      <c r="AL226" s="168">
        <f>IF(AI226="","",AI226*'Tabella Carichi Unitari'!$C$17)</f>
        <v>5.2200000000000006</v>
      </c>
      <c r="AM226" s="110">
        <f>IF(AI226="","",AI226*'Tabella Carichi Unitari'!$K$17)</f>
        <v>0</v>
      </c>
      <c r="AN226" s="306">
        <v>0.9</v>
      </c>
      <c r="AO226" s="168">
        <f>IF(AN226="","",AN226*'Tabella Carichi Unitari'!$G$17)</f>
        <v>6.7860000000000014</v>
      </c>
      <c r="AP226" s="168">
        <f>IF(AN226="","",AN226*'Tabella Carichi Unitari'!$H$17)</f>
        <v>0</v>
      </c>
      <c r="AQ226" s="168">
        <f>IF(AN226="","",AN226*'Tabella Carichi Unitari'!$C$17)</f>
        <v>5.2200000000000006</v>
      </c>
      <c r="AR226" s="110">
        <f>IF(AN226="","",AN226*'Tabella Carichi Unitari'!$K$17)</f>
        <v>0</v>
      </c>
      <c r="AS226" s="430">
        <v>0.9</v>
      </c>
      <c r="AT226" s="168">
        <f>IF(AS226="","",AS226*'Tabella Carichi Unitari'!$G$17)</f>
        <v>6.7860000000000014</v>
      </c>
      <c r="AU226" s="168">
        <f>IF(AS226="","",AS226*'Tabella Carichi Unitari'!$H$17)</f>
        <v>0</v>
      </c>
      <c r="AV226" s="168">
        <f>IF(AS226="","",AS226*'Tabella Carichi Unitari'!$C$17)</f>
        <v>5.2200000000000006</v>
      </c>
      <c r="AW226" s="110">
        <f>IF(AS226="","",AS226*'Tabella Carichi Unitari'!$K$17)</f>
        <v>0</v>
      </c>
      <c r="AX226" s="430">
        <v>0.9</v>
      </c>
      <c r="AY226" s="168">
        <f>IF(AX226="","",AX226*'Tabella Carichi Unitari'!$G$17)</f>
        <v>6.7860000000000014</v>
      </c>
      <c r="AZ226" s="168">
        <f>IF(AX226="","",AX226*'Tabella Carichi Unitari'!$H$17)</f>
        <v>0</v>
      </c>
      <c r="BA226" s="168">
        <f>IF(AX226="","",AX226*'Tabella Carichi Unitari'!$C$17)</f>
        <v>5.2200000000000006</v>
      </c>
      <c r="BB226" s="110">
        <f>IF(AX226="","",AX226*'Tabella Carichi Unitari'!$K$17)</f>
        <v>0</v>
      </c>
    </row>
    <row r="227" spans="1:54" x14ac:dyDescent="0.25">
      <c r="B227" s="306"/>
      <c r="C227" s="415">
        <f>SUM(C221:C226)</f>
        <v>10.432500000000001</v>
      </c>
      <c r="D227" s="415">
        <f>SUM(D221:D226)</f>
        <v>0.97500000000000009</v>
      </c>
      <c r="E227" s="415">
        <f>SUM(E221:E226)</f>
        <v>8.0250000000000004</v>
      </c>
      <c r="F227" s="415">
        <f>SUM(F221:F226)</f>
        <v>0</v>
      </c>
      <c r="G227" s="306"/>
      <c r="H227" s="415">
        <f>SUM(H221:H226)</f>
        <v>18.548400000000001</v>
      </c>
      <c r="I227" s="415">
        <f>SUM(I221:I226)</f>
        <v>7.8000000000000007</v>
      </c>
      <c r="J227" s="415">
        <f>SUM(J221:J226)</f>
        <v>14.267999999999999</v>
      </c>
      <c r="K227" s="415">
        <f>SUM(K221:K226)</f>
        <v>3.12</v>
      </c>
      <c r="L227" s="306"/>
      <c r="M227" s="415">
        <f>SUM(M221:M226)</f>
        <v>19.523400000000002</v>
      </c>
      <c r="N227" s="415">
        <f>SUM(N221:N226)</f>
        <v>7.8000000000000007</v>
      </c>
      <c r="O227" s="415">
        <f>SUM(O221:O226)</f>
        <v>15.017999999999999</v>
      </c>
      <c r="P227" s="109">
        <f>SUM(P221:P226)</f>
        <v>3.12</v>
      </c>
      <c r="Q227" s="416"/>
      <c r="R227" s="415">
        <f>SUM(R221:R226)</f>
        <v>15.083640000000001</v>
      </c>
      <c r="S227" s="415">
        <f t="shared" ref="S227:U227" si="218">SUM(S221:S226)</f>
        <v>1.5</v>
      </c>
      <c r="T227" s="415">
        <f t="shared" si="218"/>
        <v>11.6028</v>
      </c>
      <c r="U227" s="415">
        <f t="shared" si="218"/>
        <v>0.3</v>
      </c>
      <c r="V227" s="416"/>
      <c r="W227" s="415">
        <f>SUM(W221:W226)</f>
        <v>15.083640000000001</v>
      </c>
      <c r="X227" s="415">
        <f t="shared" ref="X227:Z227" si="219">SUM(X221:X226)</f>
        <v>1.5</v>
      </c>
      <c r="Y227" s="415">
        <f t="shared" si="219"/>
        <v>11.6028</v>
      </c>
      <c r="Z227" s="415">
        <f t="shared" si="219"/>
        <v>0.3</v>
      </c>
      <c r="AB227" s="416"/>
      <c r="AC227"/>
      <c r="AD227" s="306"/>
      <c r="AE227" s="429">
        <f>SUM(AE221:AE226)</f>
        <v>17.277000000000001</v>
      </c>
      <c r="AF227" s="429">
        <f>SUM(AF221:AF226)</f>
        <v>6.3374999999999995</v>
      </c>
      <c r="AG227" s="429">
        <f>SUM(AG221:AG226)</f>
        <v>13.290000000000001</v>
      </c>
      <c r="AH227" s="429">
        <f>SUM(AH221:AH226)</f>
        <v>1.17</v>
      </c>
      <c r="AI227" s="306"/>
      <c r="AJ227" s="429">
        <f>SUM(AJ221:AJ226)</f>
        <v>24.849395999999999</v>
      </c>
      <c r="AK227" s="429">
        <f>SUM(AK221:AK226)</f>
        <v>9.75</v>
      </c>
      <c r="AL227" s="429">
        <f>SUM(AL221:AL226)</f>
        <v>19.114919999999998</v>
      </c>
      <c r="AM227" s="429">
        <f>SUM(AM221:AM226)</f>
        <v>2.73</v>
      </c>
      <c r="AN227" s="306"/>
      <c r="AO227" s="429">
        <f>SUM(AO221:AO226)</f>
        <v>25.824396</v>
      </c>
      <c r="AP227" s="429">
        <f>SUM(AP221:AP226)</f>
        <v>9.75</v>
      </c>
      <c r="AQ227" s="429">
        <f>SUM(AQ221:AQ226)</f>
        <v>19.864919999999998</v>
      </c>
      <c r="AR227" s="109">
        <f>SUM(AR221:AR226)</f>
        <v>2.73</v>
      </c>
      <c r="AS227" s="430"/>
      <c r="AT227" s="429">
        <f>SUM(AT221:AT226)</f>
        <v>22.351445999999999</v>
      </c>
      <c r="AU227" s="429">
        <f t="shared" ref="AU227:AW227" si="220">SUM(AU221:AU226)</f>
        <v>5.85</v>
      </c>
      <c r="AV227" s="429">
        <f t="shared" si="220"/>
        <v>17.19342</v>
      </c>
      <c r="AW227" s="429">
        <f t="shared" si="220"/>
        <v>1.17</v>
      </c>
      <c r="AX227" s="430"/>
      <c r="AY227" s="429">
        <f>SUM(AY221:AY226)</f>
        <v>22.351445999999999</v>
      </c>
      <c r="AZ227" s="429">
        <f t="shared" ref="AZ227:BB227" si="221">SUM(AZ221:AZ226)</f>
        <v>5.85</v>
      </c>
      <c r="BA227" s="429">
        <f t="shared" si="221"/>
        <v>17.19342</v>
      </c>
      <c r="BB227" s="429">
        <f t="shared" si="221"/>
        <v>1.17</v>
      </c>
    </row>
    <row r="228" spans="1:54" x14ac:dyDescent="0.25">
      <c r="B228" s="412"/>
      <c r="C228" s="612">
        <f>C227+D227</f>
        <v>11.407500000000001</v>
      </c>
      <c r="D228" s="612"/>
      <c r="E228" s="612">
        <f>E227+F227</f>
        <v>8.0250000000000004</v>
      </c>
      <c r="F228" s="612"/>
      <c r="G228" s="412"/>
      <c r="H228" s="612">
        <f>H227+I227</f>
        <v>26.348400000000002</v>
      </c>
      <c r="I228" s="612"/>
      <c r="J228" s="612">
        <f>J227+K227</f>
        <v>17.387999999999998</v>
      </c>
      <c r="K228" s="612"/>
      <c r="L228" s="412"/>
      <c r="M228" s="612">
        <f>M227+N227</f>
        <v>27.323400000000003</v>
      </c>
      <c r="N228" s="612"/>
      <c r="O228" s="612">
        <f>O227+P227</f>
        <v>18.137999999999998</v>
      </c>
      <c r="P228" s="612"/>
      <c r="Q228" s="416"/>
      <c r="R228" s="612">
        <f>R227+S227</f>
        <v>16.583640000000003</v>
      </c>
      <c r="S228" s="612"/>
      <c r="T228" s="612">
        <f>T227+U227</f>
        <v>11.902800000000001</v>
      </c>
      <c r="U228" s="612"/>
      <c r="V228" s="416"/>
      <c r="W228" s="612">
        <f>W227+X227</f>
        <v>16.583640000000003</v>
      </c>
      <c r="X228" s="612"/>
      <c r="Y228" s="612">
        <f>Y227+Z227</f>
        <v>11.902800000000001</v>
      </c>
      <c r="Z228" s="612"/>
      <c r="AB228" s="416"/>
      <c r="AC228"/>
      <c r="AD228" s="428"/>
      <c r="AE228" s="612">
        <f>AE227+AF227</f>
        <v>23.6145</v>
      </c>
      <c r="AF228" s="612"/>
      <c r="AG228" s="612">
        <f>AG227+AH227</f>
        <v>14.46</v>
      </c>
      <c r="AH228" s="612"/>
      <c r="AI228" s="428"/>
      <c r="AJ228" s="612">
        <f>AJ227+AK227</f>
        <v>34.599395999999999</v>
      </c>
      <c r="AK228" s="612"/>
      <c r="AL228" s="612">
        <f>AL227+AM227</f>
        <v>21.844919999999998</v>
      </c>
      <c r="AM228" s="612"/>
      <c r="AN228" s="428"/>
      <c r="AO228" s="612">
        <f>AO227+AP227</f>
        <v>35.574396</v>
      </c>
      <c r="AP228" s="612"/>
      <c r="AQ228" s="612">
        <f>AQ227+AR227</f>
        <v>22.594919999999998</v>
      </c>
      <c r="AR228" s="612"/>
      <c r="AS228" s="430"/>
      <c r="AT228" s="612">
        <f>AT227+AU227</f>
        <v>28.201445999999997</v>
      </c>
      <c r="AU228" s="612"/>
      <c r="AV228" s="612">
        <f>AV227+AW227</f>
        <v>18.363419999999998</v>
      </c>
      <c r="AW228" s="612"/>
      <c r="AX228" s="430"/>
      <c r="AY228" s="612">
        <f>AY227+AZ227</f>
        <v>28.201445999999997</v>
      </c>
      <c r="AZ228" s="612"/>
      <c r="BA228" s="612">
        <f>BA227+BB227</f>
        <v>18.363419999999998</v>
      </c>
      <c r="BB228" s="612"/>
    </row>
    <row r="229" spans="1:54" x14ac:dyDescent="0.25">
      <c r="B229" s="416"/>
      <c r="G229" s="416"/>
      <c r="L229" s="416"/>
      <c r="Q229" s="416"/>
      <c r="V229" s="416"/>
      <c r="AB229" s="416"/>
      <c r="AC229" s="430"/>
      <c r="AD229" s="430"/>
      <c r="AE229" s="430"/>
      <c r="AF229" s="430"/>
      <c r="AG229" s="430"/>
      <c r="AH229" s="430"/>
      <c r="AI229" s="430"/>
      <c r="AJ229" s="430"/>
      <c r="AK229" s="430"/>
      <c r="AL229" s="430"/>
      <c r="AM229" s="430"/>
      <c r="AN229" s="430"/>
      <c r="AO229" s="430"/>
      <c r="AP229" s="430"/>
      <c r="AQ229" s="430"/>
      <c r="AR229" s="430"/>
      <c r="AS229" s="430"/>
      <c r="AT229" s="430"/>
      <c r="AU229" s="430"/>
      <c r="AV229" s="430"/>
      <c r="AW229" s="430"/>
    </row>
    <row r="230" spans="1:54" x14ac:dyDescent="0.25">
      <c r="B230" s="416"/>
      <c r="G230" s="416"/>
      <c r="L230" s="416"/>
      <c r="Q230" s="416"/>
      <c r="V230" s="416"/>
      <c r="AB230" s="416"/>
      <c r="AC230" s="403" t="s">
        <v>393</v>
      </c>
      <c r="AD230" s="430"/>
      <c r="AE230" t="s">
        <v>399</v>
      </c>
      <c r="AF230"/>
      <c r="AG230"/>
      <c r="AH230"/>
      <c r="AI230" s="430"/>
      <c r="AJ230" t="s">
        <v>400</v>
      </c>
      <c r="AK230"/>
      <c r="AL230"/>
      <c r="AM230"/>
      <c r="AN230" s="430"/>
      <c r="AO230" t="s">
        <v>401</v>
      </c>
      <c r="AP230"/>
      <c r="AQ230"/>
      <c r="AR230"/>
      <c r="AS230" s="430"/>
      <c r="AT230" t="s">
        <v>232</v>
      </c>
      <c r="AU230"/>
      <c r="AV230"/>
      <c r="AW230"/>
      <c r="AX230" s="430"/>
      <c r="AY230" t="s">
        <v>402</v>
      </c>
    </row>
    <row r="231" spans="1:54" x14ac:dyDescent="0.25">
      <c r="A231" s="403" t="s">
        <v>393</v>
      </c>
      <c r="B231" s="416"/>
      <c r="C231" t="s">
        <v>399</v>
      </c>
      <c r="G231" s="416"/>
      <c r="H231" t="s">
        <v>400</v>
      </c>
      <c r="L231" s="416"/>
      <c r="M231" t="s">
        <v>401</v>
      </c>
      <c r="Q231" s="416"/>
      <c r="R231" t="s">
        <v>232</v>
      </c>
      <c r="V231" s="416"/>
      <c r="W231" t="s">
        <v>402</v>
      </c>
      <c r="AB231" s="416"/>
      <c r="AC231" s="404" t="s">
        <v>449</v>
      </c>
      <c r="AD231" s="430"/>
      <c r="AE231"/>
      <c r="AF231"/>
      <c r="AG231"/>
      <c r="AH231"/>
      <c r="AI231" s="430"/>
      <c r="AJ231"/>
      <c r="AK231"/>
      <c r="AL231"/>
      <c r="AM231"/>
      <c r="AN231" s="430"/>
      <c r="AO231"/>
      <c r="AP231"/>
      <c r="AQ231"/>
      <c r="AR231"/>
      <c r="AS231" s="430"/>
      <c r="AT231"/>
      <c r="AU231"/>
      <c r="AV231"/>
      <c r="AW231"/>
      <c r="AX231" s="430"/>
    </row>
    <row r="232" spans="1:54" x14ac:dyDescent="0.25">
      <c r="A232" s="404" t="s">
        <v>426</v>
      </c>
      <c r="B232" s="416"/>
      <c r="G232" s="416"/>
      <c r="L232" s="416"/>
      <c r="Q232" s="416"/>
      <c r="V232" s="416"/>
      <c r="AB232" s="416"/>
      <c r="AC232"/>
      <c r="AD232" s="306"/>
      <c r="AE232" s="430" t="s">
        <v>386</v>
      </c>
      <c r="AF232" s="430" t="s">
        <v>396</v>
      </c>
      <c r="AG232" s="430" t="s">
        <v>288</v>
      </c>
      <c r="AH232" s="418" t="s">
        <v>406</v>
      </c>
      <c r="AI232" s="306"/>
      <c r="AJ232" s="430" t="s">
        <v>386</v>
      </c>
      <c r="AK232" s="430" t="s">
        <v>396</v>
      </c>
      <c r="AL232" s="430" t="s">
        <v>288</v>
      </c>
      <c r="AM232" s="418" t="s">
        <v>407</v>
      </c>
      <c r="AN232" s="306"/>
      <c r="AO232" s="430" t="s">
        <v>386</v>
      </c>
      <c r="AP232" s="430" t="s">
        <v>396</v>
      </c>
      <c r="AQ232" s="430" t="s">
        <v>288</v>
      </c>
      <c r="AR232" s="411" t="s">
        <v>407</v>
      </c>
      <c r="AS232" s="306"/>
      <c r="AT232" s="430" t="s">
        <v>386</v>
      </c>
      <c r="AU232" s="430" t="s">
        <v>396</v>
      </c>
      <c r="AV232" s="430" t="s">
        <v>288</v>
      </c>
      <c r="AW232" s="411" t="s">
        <v>407</v>
      </c>
      <c r="AX232" s="306"/>
      <c r="AY232" s="430" t="s">
        <v>386</v>
      </c>
      <c r="AZ232" s="430" t="s">
        <v>396</v>
      </c>
      <c r="BA232" s="430" t="s">
        <v>288</v>
      </c>
      <c r="BB232" s="411" t="s">
        <v>407</v>
      </c>
    </row>
    <row r="233" spans="1:54" x14ac:dyDescent="0.25">
      <c r="B233" s="306"/>
      <c r="C233" s="416" t="s">
        <v>386</v>
      </c>
      <c r="D233" s="416" t="s">
        <v>396</v>
      </c>
      <c r="E233" s="416" t="s">
        <v>288</v>
      </c>
      <c r="F233" s="418" t="s">
        <v>406</v>
      </c>
      <c r="G233" s="306"/>
      <c r="H233" s="416" t="s">
        <v>386</v>
      </c>
      <c r="I233" s="416" t="s">
        <v>396</v>
      </c>
      <c r="J233" s="416" t="s">
        <v>288</v>
      </c>
      <c r="K233" s="418" t="s">
        <v>407</v>
      </c>
      <c r="L233" s="306"/>
      <c r="M233" s="416" t="s">
        <v>386</v>
      </c>
      <c r="N233" s="416" t="s">
        <v>396</v>
      </c>
      <c r="O233" s="416" t="s">
        <v>288</v>
      </c>
      <c r="P233" s="411" t="s">
        <v>407</v>
      </c>
      <c r="Q233" s="306"/>
      <c r="R233" s="416" t="s">
        <v>386</v>
      </c>
      <c r="S233" s="416" t="s">
        <v>396</v>
      </c>
      <c r="T233" s="416" t="s">
        <v>288</v>
      </c>
      <c r="U233" s="411" t="s">
        <v>407</v>
      </c>
      <c r="V233" s="306"/>
      <c r="W233" s="416" t="s">
        <v>386</v>
      </c>
      <c r="X233" s="416" t="s">
        <v>396</v>
      </c>
      <c r="Y233" s="416" t="s">
        <v>288</v>
      </c>
      <c r="Z233" s="411" t="s">
        <v>407</v>
      </c>
      <c r="AB233" s="416"/>
      <c r="AC233" t="s">
        <v>312</v>
      </c>
      <c r="AD233" s="106">
        <f>(3.5/2)*1</f>
        <v>1.75</v>
      </c>
      <c r="AE233" s="429">
        <f>IF(AD233="","",AD233*'Tabella Carichi Unitari'!$G$8)</f>
        <v>9.1</v>
      </c>
      <c r="AF233" s="429">
        <f>IF(AD233="","",AD233*'Tabella Carichi Unitari'!$H$8)</f>
        <v>5.25</v>
      </c>
      <c r="AG233" s="429">
        <f>IF(AD233="","",AD233*'Tabella Carichi Unitari'!$C$8)</f>
        <v>7</v>
      </c>
      <c r="AH233" s="429">
        <f>IF(AD233="","",AD233*'Tabella Carichi Unitari'!$K$8)</f>
        <v>1.05</v>
      </c>
      <c r="AI233" s="106">
        <f>AD233</f>
        <v>1.75</v>
      </c>
      <c r="AJ233" s="429">
        <f>IF(AI233="","",AI233*'Tabella Carichi Unitari'!$G$5)</f>
        <v>8.77149</v>
      </c>
      <c r="AK233" s="429">
        <f>IF(AI233="","",AI233*'Tabella Carichi Unitari'!$H$5)</f>
        <v>5.25</v>
      </c>
      <c r="AL233" s="429">
        <f>IF(AI233="","",AI233*'Tabella Carichi Unitari'!$C$5)</f>
        <v>6.7472999999999992</v>
      </c>
      <c r="AM233" s="429">
        <f>IF(AI233="","",AI233*'Tabella Carichi Unitari'!$K$5)</f>
        <v>1.05</v>
      </c>
      <c r="AN233" s="106">
        <f>AD233</f>
        <v>1.75</v>
      </c>
      <c r="AO233" s="429">
        <f>IF(AN233="","",AN233*'Tabella Carichi Unitari'!$G$5)</f>
        <v>8.77149</v>
      </c>
      <c r="AP233" s="429">
        <f>IF(AN233="","",AN233*'Tabella Carichi Unitari'!$H$5)</f>
        <v>5.25</v>
      </c>
      <c r="AQ233" s="429">
        <f>IF(AN233="","",AN233*'Tabella Carichi Unitari'!$C$5)</f>
        <v>6.7472999999999992</v>
      </c>
      <c r="AR233" s="109">
        <f>IF(AN233="","",AN233*'Tabella Carichi Unitari'!$K$5)</f>
        <v>1.05</v>
      </c>
      <c r="AS233" s="429">
        <f>AD233</f>
        <v>1.75</v>
      </c>
      <c r="AT233" s="429">
        <f>IF(AS233="","",AS233*'Tabella Carichi Unitari'!$G$5)</f>
        <v>8.77149</v>
      </c>
      <c r="AU233" s="429">
        <f>IF(AS233="","",AS233*'Tabella Carichi Unitari'!$H$5)</f>
        <v>5.25</v>
      </c>
      <c r="AV233" s="429">
        <f>IF(AS233="","",AS233*'Tabella Carichi Unitari'!$C$5)</f>
        <v>6.7472999999999992</v>
      </c>
      <c r="AW233" s="109">
        <f>IF(AS233="","",AS233*'Tabella Carichi Unitari'!$K$5)</f>
        <v>1.05</v>
      </c>
      <c r="AX233" s="429">
        <f>AD233</f>
        <v>1.75</v>
      </c>
      <c r="AY233" s="429">
        <f>IF(AX233="","",AX233*'Tabella Carichi Unitari'!$G$5)</f>
        <v>8.77149</v>
      </c>
      <c r="AZ233" s="429">
        <f>IF(AX233="","",AX233*'Tabella Carichi Unitari'!$H$5)</f>
        <v>5.25</v>
      </c>
      <c r="BA233" s="429">
        <f>IF(AX233="","",AX233*'Tabella Carichi Unitari'!$C$5)</f>
        <v>6.7472999999999992</v>
      </c>
      <c r="BB233" s="109">
        <f>IF(AX233="","",AX233*'Tabella Carichi Unitari'!$K$5)</f>
        <v>1.05</v>
      </c>
    </row>
    <row r="234" spans="1:54" x14ac:dyDescent="0.25">
      <c r="A234" t="s">
        <v>312</v>
      </c>
      <c r="B234" s="106"/>
      <c r="C234" s="415" t="str">
        <f>IF(B234="","",B234*'Tabella Carichi Unitari'!$G$8)</f>
        <v/>
      </c>
      <c r="D234" s="415" t="str">
        <f>IF(B234="","",B234*'Tabella Carichi Unitari'!$H$8)</f>
        <v/>
      </c>
      <c r="E234" s="415" t="str">
        <f>IF(B234="","",B234*'Tabella Carichi Unitari'!$C$8)</f>
        <v/>
      </c>
      <c r="F234" s="415" t="str">
        <f>IF(B234="","",B234*'Tabella Carichi Unitari'!$K$8)</f>
        <v/>
      </c>
      <c r="G234" s="106"/>
      <c r="H234" s="415" t="str">
        <f>IF(G234="","",G234*'Tabella Carichi Unitari'!$G$5)</f>
        <v/>
      </c>
      <c r="I234" s="415" t="str">
        <f>IF(G234="","",G234*'Tabella Carichi Unitari'!$H$5)</f>
        <v/>
      </c>
      <c r="J234" s="415" t="str">
        <f>IF(G234="","",G234*'Tabella Carichi Unitari'!$C$5)</f>
        <v/>
      </c>
      <c r="K234" s="415" t="str">
        <f>IF(G234="","",G234*'Tabella Carichi Unitari'!$K$5)</f>
        <v/>
      </c>
      <c r="L234" s="106"/>
      <c r="M234" s="415" t="str">
        <f>IF(L234="","",L234*'Tabella Carichi Unitari'!$G$5)</f>
        <v/>
      </c>
      <c r="N234" s="415" t="str">
        <f>IF(L234="","",L234*'Tabella Carichi Unitari'!$H$5)</f>
        <v/>
      </c>
      <c r="O234" s="415" t="str">
        <f>IF(L234="","",L234*'Tabella Carichi Unitari'!$C$5)</f>
        <v/>
      </c>
      <c r="P234" s="109" t="str">
        <f>IF(L234="","",L234*'Tabella Carichi Unitari'!$K$5)</f>
        <v/>
      </c>
      <c r="Q234" s="416">
        <v>0.5</v>
      </c>
      <c r="R234" s="415">
        <f>IF(Q234="","",Q234*'Tabella Carichi Unitari'!$G$5)</f>
        <v>2.5061399999999998</v>
      </c>
      <c r="S234" s="415">
        <f>IF(Q234="","",Q234*'Tabella Carichi Unitari'!$H$5)</f>
        <v>1.5</v>
      </c>
      <c r="T234" s="415">
        <f>IF(Q234="","",Q234*'Tabella Carichi Unitari'!$C$5)</f>
        <v>1.9277999999999997</v>
      </c>
      <c r="U234" s="109">
        <f>IF(Q234="","",Q234*'Tabella Carichi Unitari'!$K$5)</f>
        <v>0.3</v>
      </c>
      <c r="V234" s="416">
        <v>0.5</v>
      </c>
      <c r="W234" s="415">
        <f>IF(V234="","",V234*'Tabella Carichi Unitari'!$G$5)</f>
        <v>2.5061399999999998</v>
      </c>
      <c r="X234" s="415">
        <f>IF(V234="","",V234*'Tabella Carichi Unitari'!$H$5)</f>
        <v>1.5</v>
      </c>
      <c r="Y234" s="415">
        <f>IF(V234="","",V234*'Tabella Carichi Unitari'!$C$5)</f>
        <v>1.9277999999999997</v>
      </c>
      <c r="Z234" s="109">
        <f>IF(V234="","",V234*'Tabella Carichi Unitari'!$K$5)</f>
        <v>0.3</v>
      </c>
      <c r="AB234" s="416"/>
      <c r="AC234" t="s">
        <v>314</v>
      </c>
      <c r="AD234" s="106">
        <f>(1.2+0.15)*0.51</f>
        <v>0.68849999999999989</v>
      </c>
      <c r="AE234" s="429">
        <f>IF(AD234="","",AD234*'Tabella Carichi Unitari'!$G$11)</f>
        <v>3.4906949999999997</v>
      </c>
      <c r="AF234" s="429">
        <f>IF(AD234="","",AD234*'Tabella Carichi Unitari'!$H$11)</f>
        <v>0.51637499999999992</v>
      </c>
      <c r="AG234" s="429">
        <f>IF(AD234="","",AD234*'Tabella Carichi Unitari'!$C$11)</f>
        <v>2.6851499999999997</v>
      </c>
      <c r="AH234" s="429">
        <f>IF(AD234="","",AD234*'Tabella Carichi Unitari'!$K$11)</f>
        <v>0</v>
      </c>
      <c r="AI234" s="106">
        <f>AD234</f>
        <v>0.68849999999999989</v>
      </c>
      <c r="AJ234" s="429">
        <f>IF(AI234="","",AI234*'Tabella Carichi Unitari'!$G$10)</f>
        <v>3.6786554999999987</v>
      </c>
      <c r="AK234" s="429">
        <f>IF(AI234="","",AI234*'Tabella Carichi Unitari'!$H$10)</f>
        <v>4.1309999999999993</v>
      </c>
      <c r="AL234" s="429">
        <f>IF(AI234="","",AI234*'Tabella Carichi Unitari'!$C$10)</f>
        <v>2.829734999999999</v>
      </c>
      <c r="AM234" s="429">
        <f>IF(AI234="","",AI234*'Tabella Carichi Unitari'!$K$10)</f>
        <v>1.6523999999999996</v>
      </c>
      <c r="AN234" s="106">
        <f>AD234</f>
        <v>0.68849999999999989</v>
      </c>
      <c r="AO234" s="429">
        <f>IF(AN234="","",AN234*'Tabella Carichi Unitari'!$G$10)</f>
        <v>3.6786554999999987</v>
      </c>
      <c r="AP234" s="429">
        <f>IF(AN234="","",AN234*'Tabella Carichi Unitari'!$H$10)</f>
        <v>4.1309999999999993</v>
      </c>
      <c r="AQ234" s="429">
        <f>IF(AN234="","",AN234*'Tabella Carichi Unitari'!$C$10)</f>
        <v>2.829734999999999</v>
      </c>
      <c r="AR234" s="109">
        <f>IF(AN234="","",AN234*'Tabella Carichi Unitari'!$K$10)</f>
        <v>1.6523999999999996</v>
      </c>
      <c r="AS234" s="430"/>
      <c r="AT234" s="429" t="str">
        <f>IF(AS234="","",AS234*'Tabella Carichi Unitari'!$G$10)</f>
        <v/>
      </c>
      <c r="AU234" s="429" t="str">
        <f>IF(AS234="","",AS234*'Tabella Carichi Unitari'!$H$10)</f>
        <v/>
      </c>
      <c r="AV234" s="429" t="str">
        <f>IF(AS234="","",AS234*'Tabella Carichi Unitari'!$C$10)</f>
        <v/>
      </c>
      <c r="AW234" s="109" t="str">
        <f>IF(AS234="","",AS234*'Tabella Carichi Unitari'!$K$10)</f>
        <v/>
      </c>
      <c r="AX234" s="430"/>
      <c r="AY234" s="429" t="str">
        <f>IF(AX234="","",AX234*'Tabella Carichi Unitari'!$G$10)</f>
        <v/>
      </c>
      <c r="AZ234" s="429" t="str">
        <f>IF(AX234="","",AX234*'Tabella Carichi Unitari'!$H$10)</f>
        <v/>
      </c>
      <c r="BA234" s="429" t="str">
        <f>IF(AX234="","",AX234*'Tabella Carichi Unitari'!$C$10)</f>
        <v/>
      </c>
      <c r="BB234" s="109" t="str">
        <f>IF(AX234="","",AX234*'Tabella Carichi Unitari'!$K$10)</f>
        <v/>
      </c>
    </row>
    <row r="235" spans="1:54" x14ac:dyDescent="0.25">
      <c r="A235" t="s">
        <v>314</v>
      </c>
      <c r="B235" s="106">
        <f>(1.2+0.15)*2*0.41</f>
        <v>1.1069999999999998</v>
      </c>
      <c r="C235" s="415">
        <f>IF(B235="","",B235*'Tabella Carichi Unitari'!$G$11)</f>
        <v>5.6124899999999993</v>
      </c>
      <c r="D235" s="415">
        <f>IF(B235="","",B235*'Tabella Carichi Unitari'!$H$11)</f>
        <v>0.83024999999999982</v>
      </c>
      <c r="E235" s="415">
        <f>IF(B235="","",B235*'Tabella Carichi Unitari'!$C$11)</f>
        <v>4.3172999999999986</v>
      </c>
      <c r="F235" s="415">
        <f>IF(B235="","",B235*'Tabella Carichi Unitari'!$K$11)</f>
        <v>0</v>
      </c>
      <c r="G235" s="106">
        <f>B235</f>
        <v>1.1069999999999998</v>
      </c>
      <c r="H235" s="415">
        <f>IF(G235="","",G235*'Tabella Carichi Unitari'!$G$10)</f>
        <v>5.9147009999999973</v>
      </c>
      <c r="I235" s="415">
        <f>IF(G235="","",G235*'Tabella Carichi Unitari'!$H$10)</f>
        <v>6.6419999999999986</v>
      </c>
      <c r="J235" s="415">
        <f>IF(G235="","",G235*'Tabella Carichi Unitari'!$C$10)</f>
        <v>4.5497699999999988</v>
      </c>
      <c r="K235" s="415">
        <f>IF(G235="","",G235*'Tabella Carichi Unitari'!$K$10)</f>
        <v>2.6567999999999992</v>
      </c>
      <c r="L235" s="106">
        <f>B235</f>
        <v>1.1069999999999998</v>
      </c>
      <c r="M235" s="415">
        <f>IF(L235="","",L235*'Tabella Carichi Unitari'!$G$10)</f>
        <v>5.9147009999999973</v>
      </c>
      <c r="N235" s="415">
        <f>IF(L235="","",L235*'Tabella Carichi Unitari'!$H$10)</f>
        <v>6.6419999999999986</v>
      </c>
      <c r="O235" s="415">
        <f>IF(L235="","",L235*'Tabella Carichi Unitari'!$C$10)</f>
        <v>4.5497699999999988</v>
      </c>
      <c r="P235" s="109">
        <f>IF(L235="","",L235*'Tabella Carichi Unitari'!$K$10)</f>
        <v>2.6567999999999992</v>
      </c>
      <c r="Q235" s="416"/>
      <c r="R235" s="415" t="str">
        <f>IF(Q235="","",Q235*'Tabella Carichi Unitari'!$G$10)</f>
        <v/>
      </c>
      <c r="S235" s="415" t="str">
        <f>IF(Q235="","",Q235*'Tabella Carichi Unitari'!$H$10)</f>
        <v/>
      </c>
      <c r="T235" s="415" t="str">
        <f>IF(Q235="","",Q235*'Tabella Carichi Unitari'!$C$10)</f>
        <v/>
      </c>
      <c r="U235" s="109" t="str">
        <f>IF(Q235="","",Q235*'Tabella Carichi Unitari'!$K$10)</f>
        <v/>
      </c>
      <c r="V235" s="416"/>
      <c r="W235" s="415" t="str">
        <f>IF(V235="","",V235*'Tabella Carichi Unitari'!$G$10)</f>
        <v/>
      </c>
      <c r="X235" s="415" t="str">
        <f>IF(V235="","",V235*'Tabella Carichi Unitari'!$H$10)</f>
        <v/>
      </c>
      <c r="Y235" s="415" t="str">
        <f>IF(V235="","",V235*'Tabella Carichi Unitari'!$C$10)</f>
        <v/>
      </c>
      <c r="Z235" s="109" t="str">
        <f>IF(V235="","",V235*'Tabella Carichi Unitari'!$K$10)</f>
        <v/>
      </c>
      <c r="AB235" s="416"/>
      <c r="AC235" t="s">
        <v>315</v>
      </c>
      <c r="AD235" s="106"/>
      <c r="AE235" s="429" t="str">
        <f>IF(AD235="","",AD235*'Tabella Carichi Unitari'!$G$12)</f>
        <v/>
      </c>
      <c r="AF235" s="429" t="str">
        <f>IF(AD235="","",AD235*'Tabella Carichi Unitari'!$H$12)</f>
        <v/>
      </c>
      <c r="AG235" s="429" t="str">
        <f>IF(AD235="","",AD235*'Tabella Carichi Unitari'!$C$12)</f>
        <v/>
      </c>
      <c r="AH235" s="429" t="str">
        <f>IF(AD235="","",AD235*'Tabella Carichi Unitari'!$K$12)</f>
        <v/>
      </c>
      <c r="AI235" s="106"/>
      <c r="AJ235" s="429" t="str">
        <f>IF(AI235="","",AI235*'Tabella Carichi Unitari'!$G$12)</f>
        <v/>
      </c>
      <c r="AK235" s="429" t="str">
        <f>IF(AI235="","",AI235*'Tabella Carichi Unitari'!$H$12)</f>
        <v/>
      </c>
      <c r="AL235" s="429" t="str">
        <f>IF(AI235="","",AI235*'Tabella Carichi Unitari'!$C$12)</f>
        <v/>
      </c>
      <c r="AM235" s="429" t="str">
        <f>IF(AI235="","",AI235*'Tabella Carichi Unitari'!$K$12)</f>
        <v/>
      </c>
      <c r="AN235" s="106"/>
      <c r="AO235" s="429" t="str">
        <f>IF(AN235="","",AN235*'Tabella Carichi Unitari'!$G$12)</f>
        <v/>
      </c>
      <c r="AP235" s="429" t="str">
        <f>IF(AN235="","",AN235*'Tabella Carichi Unitari'!$H$12)</f>
        <v/>
      </c>
      <c r="AQ235" s="429" t="str">
        <f>IF(AN235="","",AN235*'Tabella Carichi Unitari'!$C$12)</f>
        <v/>
      </c>
      <c r="AR235" s="109" t="str">
        <f>IF(AN235="","",AN235*'Tabella Carichi Unitari'!$K$12)</f>
        <v/>
      </c>
      <c r="AS235" s="430"/>
      <c r="AT235" s="429" t="str">
        <f>IF(AS235="","",AS235*'Tabella Carichi Unitari'!$G$12)</f>
        <v/>
      </c>
      <c r="AU235" s="429" t="str">
        <f>IF(AS235="","",AS235*'Tabella Carichi Unitari'!$H$12)</f>
        <v/>
      </c>
      <c r="AV235" s="429" t="str">
        <f>IF(AS235="","",AS235*'Tabella Carichi Unitari'!$C$12)</f>
        <v/>
      </c>
      <c r="AW235" s="109" t="str">
        <f>IF(AS235="","",AS235*'Tabella Carichi Unitari'!$K$12)</f>
        <v/>
      </c>
      <c r="AX235" s="430"/>
      <c r="AY235" s="429" t="str">
        <f>IF(AX235="","",AX235*'Tabella Carichi Unitari'!$G$12)</f>
        <v/>
      </c>
      <c r="AZ235" s="429" t="str">
        <f>IF(AX235="","",AX235*'Tabella Carichi Unitari'!$H$12)</f>
        <v/>
      </c>
      <c r="BA235" s="429" t="str">
        <f>IF(AX235="","",AX235*'Tabella Carichi Unitari'!$C$12)</f>
        <v/>
      </c>
      <c r="BB235" s="109" t="str">
        <f>IF(AX235="","",AX235*'Tabella Carichi Unitari'!$K$12)</f>
        <v/>
      </c>
    </row>
    <row r="236" spans="1:54" x14ac:dyDescent="0.25">
      <c r="A236" t="s">
        <v>315</v>
      </c>
      <c r="B236" s="106"/>
      <c r="C236" s="415" t="str">
        <f>IF(B236="","",B236*'Tabella Carichi Unitari'!$G$12)</f>
        <v/>
      </c>
      <c r="D236" s="415" t="str">
        <f>IF(B236="","",B236*'Tabella Carichi Unitari'!$H$12)</f>
        <v/>
      </c>
      <c r="E236" s="415" t="str">
        <f>IF(B236="","",B236*'Tabella Carichi Unitari'!$C$12)</f>
        <v/>
      </c>
      <c r="F236" s="415" t="str">
        <f>IF(B236="","",B236*'Tabella Carichi Unitari'!$K$12)</f>
        <v/>
      </c>
      <c r="G236" s="106"/>
      <c r="H236" s="415" t="str">
        <f>IF(G236="","",G236*'Tabella Carichi Unitari'!$G$12)</f>
        <v/>
      </c>
      <c r="I236" s="415" t="str">
        <f>IF(G236="","",G236*'Tabella Carichi Unitari'!$H$12)</f>
        <v/>
      </c>
      <c r="J236" s="415" t="str">
        <f>IF(G236="","",G236*'Tabella Carichi Unitari'!$C$12)</f>
        <v/>
      </c>
      <c r="K236" s="415" t="str">
        <f>IF(G236="","",G236*'Tabella Carichi Unitari'!$K$12)</f>
        <v/>
      </c>
      <c r="L236" s="106"/>
      <c r="M236" s="415" t="str">
        <f>IF(L236="","",L236*'Tabella Carichi Unitari'!$G$12)</f>
        <v/>
      </c>
      <c r="N236" s="415" t="str">
        <f>IF(L236="","",L236*'Tabella Carichi Unitari'!$H$12)</f>
        <v/>
      </c>
      <c r="O236" s="415" t="str">
        <f>IF(L236="","",L236*'Tabella Carichi Unitari'!$C$12)</f>
        <v/>
      </c>
      <c r="P236" s="109" t="str">
        <f>IF(L236="","",L236*'Tabella Carichi Unitari'!$K$12)</f>
        <v/>
      </c>
      <c r="Q236" s="416"/>
      <c r="R236" s="415" t="str">
        <f>IF(Q236="","",Q236*'Tabella Carichi Unitari'!$G$12)</f>
        <v/>
      </c>
      <c r="S236" s="415" t="str">
        <f>IF(Q236="","",Q236*'Tabella Carichi Unitari'!$H$12)</f>
        <v/>
      </c>
      <c r="T236" s="415" t="str">
        <f>IF(Q236="","",Q236*'Tabella Carichi Unitari'!$C$12)</f>
        <v/>
      </c>
      <c r="U236" s="109" t="str">
        <f>IF(Q236="","",Q236*'Tabella Carichi Unitari'!$K$12)</f>
        <v/>
      </c>
      <c r="V236" s="416"/>
      <c r="W236" s="415" t="str">
        <f>IF(V236="","",V236*'Tabella Carichi Unitari'!$G$12)</f>
        <v/>
      </c>
      <c r="X236" s="415" t="str">
        <f>IF(V236="","",V236*'Tabella Carichi Unitari'!$H$12)</f>
        <v/>
      </c>
      <c r="Y236" s="415" t="str">
        <f>IF(V236="","",V236*'Tabella Carichi Unitari'!$C$12)</f>
        <v/>
      </c>
      <c r="Z236" s="109" t="str">
        <f>IF(V236="","",V236*'Tabella Carichi Unitari'!$K$12)</f>
        <v/>
      </c>
      <c r="AB236" s="416"/>
      <c r="AC236" t="s">
        <v>391</v>
      </c>
      <c r="AD236" s="306">
        <v>1</v>
      </c>
      <c r="AE236" s="429">
        <f>IF(AD236="","",AD236*'Tabella Carichi Unitari'!$G$15)</f>
        <v>3.8415000000000004</v>
      </c>
      <c r="AF236" s="429">
        <f>IF(AD236="","",AD236*'Tabella Carichi Unitari'!$H$15)</f>
        <v>0</v>
      </c>
      <c r="AG236" s="429">
        <f>IF(AD236="","",AD236*'Tabella Carichi Unitari'!$C$15)</f>
        <v>2.9550000000000001</v>
      </c>
      <c r="AH236" s="429">
        <f>IF(AD236="","",AD236*'Tabella Carichi Unitari'!$K$15)</f>
        <v>0</v>
      </c>
      <c r="AI236" s="306">
        <v>1</v>
      </c>
      <c r="AJ236" s="429">
        <f>IF(AI236="","",AI236*'Tabella Carichi Unitari'!$G$14)</f>
        <v>4.8165000000000004</v>
      </c>
      <c r="AK236" s="429">
        <f>IF(AI236="","",AI236*'Tabella Carichi Unitari'!$H$14)</f>
        <v>0</v>
      </c>
      <c r="AL236" s="429">
        <f>IF(AI236="","",AI236*'Tabella Carichi Unitari'!$C$14)</f>
        <v>3.7050000000000001</v>
      </c>
      <c r="AM236" s="429">
        <f>IF(AI236="","",AI236*'Tabella Carichi Unitari'!$K$14)</f>
        <v>0</v>
      </c>
      <c r="AN236" s="306">
        <v>1</v>
      </c>
      <c r="AO236" s="429">
        <f>IF(AN236="","",AN236*'Tabella Carichi Unitari'!$G$13)</f>
        <v>5.7915000000000001</v>
      </c>
      <c r="AP236" s="429">
        <f>IF(AN236="","",AN236*'Tabella Carichi Unitari'!$H$13)</f>
        <v>0</v>
      </c>
      <c r="AQ236" s="429">
        <f>IF(AN236="","",AN236*'Tabella Carichi Unitari'!$C$13)</f>
        <v>4.4550000000000001</v>
      </c>
      <c r="AR236" s="109">
        <f>IF(AN236="","",AN236*'Tabella Carichi Unitari'!$K$13)</f>
        <v>0</v>
      </c>
      <c r="AS236" s="430">
        <v>1</v>
      </c>
      <c r="AT236" s="429">
        <f>IF(AS236="","",AS236*'Tabella Carichi Unitari'!$G$13)</f>
        <v>5.7915000000000001</v>
      </c>
      <c r="AU236" s="429">
        <f>IF(AS236="","",AS236*'Tabella Carichi Unitari'!$H$13)</f>
        <v>0</v>
      </c>
      <c r="AV236" s="429">
        <f>IF(AS236="","",AS236*'Tabella Carichi Unitari'!$C$13)</f>
        <v>4.4550000000000001</v>
      </c>
      <c r="AW236" s="109">
        <f>IF(AS236="","",AS236*'Tabella Carichi Unitari'!$K$13)</f>
        <v>0</v>
      </c>
      <c r="AX236" s="430">
        <v>1</v>
      </c>
      <c r="AY236" s="429">
        <f>IF(AX236="","",AX236*'Tabella Carichi Unitari'!$G$13)</f>
        <v>5.7915000000000001</v>
      </c>
      <c r="AZ236" s="429">
        <f>IF(AX236="","",AX236*'Tabella Carichi Unitari'!$H$13)</f>
        <v>0</v>
      </c>
      <c r="BA236" s="429">
        <f>IF(AX236="","",AX236*'Tabella Carichi Unitari'!$C$13)</f>
        <v>4.4550000000000001</v>
      </c>
      <c r="BB236" s="109">
        <f>IF(AX236="","",AX236*'Tabella Carichi Unitari'!$K$13)</f>
        <v>0</v>
      </c>
    </row>
    <row r="237" spans="1:54" x14ac:dyDescent="0.25">
      <c r="A237" t="s">
        <v>391</v>
      </c>
      <c r="B237" s="306">
        <v>1</v>
      </c>
      <c r="C237" s="415">
        <f>IF(B237="","",B237*'Tabella Carichi Unitari'!$G$15)</f>
        <v>3.8415000000000004</v>
      </c>
      <c r="D237" s="415">
        <f>IF(B237="","",B237*'Tabella Carichi Unitari'!$H$15)</f>
        <v>0</v>
      </c>
      <c r="E237" s="415">
        <f>IF(B237="","",B237*'Tabella Carichi Unitari'!$C$15)</f>
        <v>2.9550000000000001</v>
      </c>
      <c r="F237" s="415">
        <f>IF(B237="","",B237*'Tabella Carichi Unitari'!$K$15)</f>
        <v>0</v>
      </c>
      <c r="G237" s="306">
        <v>1</v>
      </c>
      <c r="H237" s="415">
        <f>IF(G237="","",G237*'Tabella Carichi Unitari'!$G$14)</f>
        <v>4.8165000000000004</v>
      </c>
      <c r="I237" s="415">
        <f>IF(G237="","",G237*'Tabella Carichi Unitari'!$H$14)</f>
        <v>0</v>
      </c>
      <c r="J237" s="415">
        <f>IF(G237="","",G237*'Tabella Carichi Unitari'!$C$14)</f>
        <v>3.7050000000000001</v>
      </c>
      <c r="K237" s="415">
        <f>IF(G237="","",G237*'Tabella Carichi Unitari'!$K$14)</f>
        <v>0</v>
      </c>
      <c r="L237" s="306">
        <v>1</v>
      </c>
      <c r="M237" s="415">
        <f>IF(L237="","",L237*'Tabella Carichi Unitari'!$G$13)</f>
        <v>5.7915000000000001</v>
      </c>
      <c r="N237" s="415">
        <f>IF(L237="","",L237*'Tabella Carichi Unitari'!$H$13)</f>
        <v>0</v>
      </c>
      <c r="O237" s="415">
        <f>IF(L237="","",L237*'Tabella Carichi Unitari'!$C$13)</f>
        <v>4.4550000000000001</v>
      </c>
      <c r="P237" s="109">
        <f>IF(L237="","",L237*'Tabella Carichi Unitari'!$K$13)</f>
        <v>0</v>
      </c>
      <c r="Q237" s="416">
        <v>1</v>
      </c>
      <c r="R237" s="415">
        <f>IF(Q237="","",Q237*'Tabella Carichi Unitari'!$G$13)</f>
        <v>5.7915000000000001</v>
      </c>
      <c r="S237" s="415">
        <f>IF(Q237="","",Q237*'Tabella Carichi Unitari'!$H$13)</f>
        <v>0</v>
      </c>
      <c r="T237" s="415">
        <f>IF(Q237="","",Q237*'Tabella Carichi Unitari'!$C$13)</f>
        <v>4.4550000000000001</v>
      </c>
      <c r="U237" s="109">
        <f>IF(Q237="","",Q237*'Tabella Carichi Unitari'!$K$13)</f>
        <v>0</v>
      </c>
      <c r="V237" s="416">
        <v>1</v>
      </c>
      <c r="W237" s="415">
        <f>IF(V237="","",V237*'Tabella Carichi Unitari'!$G$13)</f>
        <v>5.7915000000000001</v>
      </c>
      <c r="X237" s="415">
        <f>IF(V237="","",V237*'Tabella Carichi Unitari'!$H$13)</f>
        <v>0</v>
      </c>
      <c r="Y237" s="415">
        <f>IF(V237="","",V237*'Tabella Carichi Unitari'!$C$13)</f>
        <v>4.4550000000000001</v>
      </c>
      <c r="Z237" s="109">
        <f>IF(V237="","",V237*'Tabella Carichi Unitari'!$K$13)</f>
        <v>0</v>
      </c>
      <c r="AB237" s="416"/>
      <c r="AC237" t="s">
        <v>392</v>
      </c>
      <c r="AD237" s="306"/>
      <c r="AE237" s="429" t="str">
        <f>IF(AD237="","",AD237*'Tabella Carichi Unitari'!$G$16)</f>
        <v/>
      </c>
      <c r="AF237" s="429" t="str">
        <f>IF(AD237="","",AD237*'Tabella Carichi Unitari'!$H$16)</f>
        <v/>
      </c>
      <c r="AG237" s="429" t="str">
        <f>IF(AD237="","",AD237*'Tabella Carichi Unitari'!$C$16)</f>
        <v/>
      </c>
      <c r="AH237" s="429" t="str">
        <f>IF(AD237="","",AD237*'Tabella Carichi Unitari'!$K$16)</f>
        <v/>
      </c>
      <c r="AI237" s="306"/>
      <c r="AJ237" s="429" t="str">
        <f>IF(AI237="","",AI237*'Tabella Carichi Unitari'!$G$16)</f>
        <v/>
      </c>
      <c r="AK237" s="429" t="str">
        <f>IF(AI237="","",AI237*'Tabella Carichi Unitari'!$H$16)</f>
        <v/>
      </c>
      <c r="AL237" s="429" t="str">
        <f>IF(AI237="","",AI237*'Tabella Carichi Unitari'!$C$16)</f>
        <v/>
      </c>
      <c r="AM237" s="429" t="str">
        <f>IF(AI237="","",AI237*'Tabella Carichi Unitari'!$K$16)</f>
        <v/>
      </c>
      <c r="AN237" s="306"/>
      <c r="AO237" s="429" t="str">
        <f>IF(AN237="","",AN237*'Tabella Carichi Unitari'!$G$9)</f>
        <v/>
      </c>
      <c r="AP237" s="429" t="str">
        <f>IF(AN237="","",AN237*'Tabella Carichi Unitari'!$H$9)</f>
        <v/>
      </c>
      <c r="AQ237" s="429" t="str">
        <f>IF(AN237="","",AN237*'Tabella Carichi Unitari'!$C$9)</f>
        <v/>
      </c>
      <c r="AR237" s="109" t="str">
        <f>IF(AN237="","",AN237*'Tabella Carichi Unitari'!$K$9)</f>
        <v/>
      </c>
      <c r="AS237" s="430"/>
      <c r="AT237" s="429" t="str">
        <f>IF(AS237="","",AS237*'Tabella Carichi Unitari'!$G$9)</f>
        <v/>
      </c>
      <c r="AU237" s="429" t="str">
        <f>IF(AS237="","",AS237*'Tabella Carichi Unitari'!$H$9)</f>
        <v/>
      </c>
      <c r="AV237" s="429" t="str">
        <f>IF(AS237="","",AS237*'Tabella Carichi Unitari'!$C$9)</f>
        <v/>
      </c>
      <c r="AW237" s="109" t="str">
        <f>IF(AS237="","",AS237*'Tabella Carichi Unitari'!$K$9)</f>
        <v/>
      </c>
      <c r="AX237" s="430"/>
      <c r="AY237" s="429" t="str">
        <f>IF(AX237="","",AX237*'Tabella Carichi Unitari'!$G$9)</f>
        <v/>
      </c>
      <c r="AZ237" s="429" t="str">
        <f>IF(AX237="","",AX237*'Tabella Carichi Unitari'!$H$9)</f>
        <v/>
      </c>
      <c r="BA237" s="429" t="str">
        <f>IF(AX237="","",AX237*'Tabella Carichi Unitari'!$C$9)</f>
        <v/>
      </c>
      <c r="BB237" s="109" t="str">
        <f>IF(AX237="","",AX237*'Tabella Carichi Unitari'!$K$9)</f>
        <v/>
      </c>
    </row>
    <row r="238" spans="1:54" x14ac:dyDescent="0.25">
      <c r="A238" t="s">
        <v>392</v>
      </c>
      <c r="B238" s="306"/>
      <c r="C238" s="415" t="str">
        <f>IF(B238="","",B238*'Tabella Carichi Unitari'!$G$16)</f>
        <v/>
      </c>
      <c r="D238" s="415" t="str">
        <f>IF(B238="","",B238*'Tabella Carichi Unitari'!$H$16)</f>
        <v/>
      </c>
      <c r="E238" s="415" t="str">
        <f>IF(B238="","",B238*'Tabella Carichi Unitari'!$C$16)</f>
        <v/>
      </c>
      <c r="F238" s="415" t="str">
        <f>IF(B238="","",B238*'Tabella Carichi Unitari'!$K$16)</f>
        <v/>
      </c>
      <c r="G238" s="306"/>
      <c r="H238" s="415" t="str">
        <f>IF(G238="","",G238*'Tabella Carichi Unitari'!$G$16)</f>
        <v/>
      </c>
      <c r="I238" s="415" t="str">
        <f>IF(G238="","",G238*'Tabella Carichi Unitari'!$H$16)</f>
        <v/>
      </c>
      <c r="J238" s="415" t="str">
        <f>IF(G238="","",G238*'Tabella Carichi Unitari'!$C$16)</f>
        <v/>
      </c>
      <c r="K238" s="415" t="str">
        <f>IF(G238="","",G238*'Tabella Carichi Unitari'!$K$16)</f>
        <v/>
      </c>
      <c r="L238" s="306"/>
      <c r="M238" s="415" t="str">
        <f>IF(L238="","",L238*'Tabella Carichi Unitari'!$G$9)</f>
        <v/>
      </c>
      <c r="N238" s="415" t="str">
        <f>IF(L238="","",L238*'Tabella Carichi Unitari'!$H$9)</f>
        <v/>
      </c>
      <c r="O238" s="415" t="str">
        <f>IF(L238="","",L238*'Tabella Carichi Unitari'!$C$9)</f>
        <v/>
      </c>
      <c r="P238" s="109" t="str">
        <f>IF(L238="","",L238*'Tabella Carichi Unitari'!$K$9)</f>
        <v/>
      </c>
      <c r="Q238" s="416"/>
      <c r="R238" s="415" t="str">
        <f>IF(Q238="","",Q238*'Tabella Carichi Unitari'!$G$9)</f>
        <v/>
      </c>
      <c r="S238" s="415" t="str">
        <f>IF(Q238="","",Q238*'Tabella Carichi Unitari'!$H$9)</f>
        <v/>
      </c>
      <c r="T238" s="415" t="str">
        <f>IF(Q238="","",Q238*'Tabella Carichi Unitari'!$C$9)</f>
        <v/>
      </c>
      <c r="U238" s="109" t="str">
        <f>IF(Q238="","",Q238*'Tabella Carichi Unitari'!$K$9)</f>
        <v/>
      </c>
      <c r="V238" s="416"/>
      <c r="W238" s="415" t="str">
        <f>IF(V238="","",V238*'Tabella Carichi Unitari'!$G$9)</f>
        <v/>
      </c>
      <c r="X238" s="415" t="str">
        <f>IF(V238="","",V238*'Tabella Carichi Unitari'!$H$9)</f>
        <v/>
      </c>
      <c r="Y238" s="415" t="str">
        <f>IF(V238="","",V238*'Tabella Carichi Unitari'!$C$9)</f>
        <v/>
      </c>
      <c r="Z238" s="109" t="str">
        <f>IF(V238="","",V238*'Tabella Carichi Unitari'!$K$9)</f>
        <v/>
      </c>
      <c r="AB238" s="416"/>
      <c r="AC238" t="s">
        <v>313</v>
      </c>
      <c r="AD238" s="306"/>
      <c r="AE238" s="168" t="str">
        <f>IF(AD238="","",AD238*'Tabella Carichi Unitari'!$G$17)</f>
        <v/>
      </c>
      <c r="AF238" s="168" t="str">
        <f>IF(AD238="","",AD238*'Tabella Carichi Unitari'!$H$17)</f>
        <v/>
      </c>
      <c r="AG238" s="168" t="str">
        <f>IF(AD238="","",AD238*'Tabella Carichi Unitari'!$C$17)</f>
        <v/>
      </c>
      <c r="AH238" s="110" t="str">
        <f>IF(AD238="","",AD238*'Tabella Carichi Unitari'!$K$17)</f>
        <v/>
      </c>
      <c r="AI238" s="306">
        <v>0.8</v>
      </c>
      <c r="AJ238" s="168">
        <f>IF(AI238="","",AI238*'Tabella Carichi Unitari'!$G$17)</f>
        <v>6.0320000000000009</v>
      </c>
      <c r="AK238" s="168">
        <f>IF(AI238="","",AI238*'Tabella Carichi Unitari'!$H$17)</f>
        <v>0</v>
      </c>
      <c r="AL238" s="168">
        <f>IF(AI238="","",AI238*'Tabella Carichi Unitari'!$C$17)</f>
        <v>4.6400000000000006</v>
      </c>
      <c r="AM238" s="110">
        <f>IF(AI238="","",AI238*'Tabella Carichi Unitari'!$K$17)</f>
        <v>0</v>
      </c>
      <c r="AN238" s="306">
        <v>0.8</v>
      </c>
      <c r="AO238" s="168">
        <f>IF(AN238="","",AN238*'Tabella Carichi Unitari'!$G$17)</f>
        <v>6.0320000000000009</v>
      </c>
      <c r="AP238" s="168">
        <f>IF(AN238="","",AN238*'Tabella Carichi Unitari'!$H$17)</f>
        <v>0</v>
      </c>
      <c r="AQ238" s="168">
        <f>IF(AN238="","",AN238*'Tabella Carichi Unitari'!$C$17)</f>
        <v>4.6400000000000006</v>
      </c>
      <c r="AR238" s="110">
        <f>IF(AN238="","",AN238*'Tabella Carichi Unitari'!$K$17)</f>
        <v>0</v>
      </c>
      <c r="AS238" s="430">
        <v>0.9</v>
      </c>
      <c r="AT238" s="168">
        <f>IF(AS238="","",AS238*'Tabella Carichi Unitari'!$G$17)</f>
        <v>6.7860000000000014</v>
      </c>
      <c r="AU238" s="168">
        <f>IF(AS238="","",AS238*'Tabella Carichi Unitari'!$H$17)</f>
        <v>0</v>
      </c>
      <c r="AV238" s="168">
        <f>IF(AS238="","",AS238*'Tabella Carichi Unitari'!$C$17)</f>
        <v>5.2200000000000006</v>
      </c>
      <c r="AW238" s="110">
        <f>IF(AS238="","",AS238*'Tabella Carichi Unitari'!$K$17)</f>
        <v>0</v>
      </c>
      <c r="AX238" s="430">
        <v>0.9</v>
      </c>
      <c r="AY238" s="168">
        <f>IF(AX238="","",AX238*'Tabella Carichi Unitari'!$G$17)</f>
        <v>6.7860000000000014</v>
      </c>
      <c r="AZ238" s="168">
        <f>IF(AX238="","",AX238*'Tabella Carichi Unitari'!$H$17)</f>
        <v>0</v>
      </c>
      <c r="BA238" s="168">
        <f>IF(AX238="","",AX238*'Tabella Carichi Unitari'!$C$17)</f>
        <v>5.2200000000000006</v>
      </c>
      <c r="BB238" s="110">
        <f>IF(AX238="","",AX238*'Tabella Carichi Unitari'!$K$17)</f>
        <v>0</v>
      </c>
    </row>
    <row r="239" spans="1:54" x14ac:dyDescent="0.25">
      <c r="A239" t="s">
        <v>313</v>
      </c>
      <c r="B239" s="306"/>
      <c r="C239" s="168" t="str">
        <f>IF(B239="","",B239*'Tabella Carichi Unitari'!$G$17)</f>
        <v/>
      </c>
      <c r="D239" s="168" t="str">
        <f>IF(B239="","",B239*'Tabella Carichi Unitari'!$H$17)</f>
        <v/>
      </c>
      <c r="E239" s="168" t="str">
        <f>IF(B239="","",B239*'Tabella Carichi Unitari'!$C$17)</f>
        <v/>
      </c>
      <c r="F239" s="110" t="str">
        <f>IF(B239="","",B239*'Tabella Carichi Unitari'!$K$17)</f>
        <v/>
      </c>
      <c r="G239" s="306">
        <v>0.8</v>
      </c>
      <c r="H239" s="168">
        <f>IF(G239="","",G239*'Tabella Carichi Unitari'!$G$17)</f>
        <v>6.0320000000000009</v>
      </c>
      <c r="I239" s="168">
        <f>IF(G239="","",G239*'Tabella Carichi Unitari'!$H$17)</f>
        <v>0</v>
      </c>
      <c r="J239" s="168">
        <f>IF(G239="","",G239*'Tabella Carichi Unitari'!$C$17)</f>
        <v>4.6400000000000006</v>
      </c>
      <c r="K239" s="110">
        <f>IF(G239="","",G239*'Tabella Carichi Unitari'!$K$17)</f>
        <v>0</v>
      </c>
      <c r="L239" s="306">
        <v>0.8</v>
      </c>
      <c r="M239" s="168">
        <f>IF(L239="","",L239*'Tabella Carichi Unitari'!$G$17)</f>
        <v>6.0320000000000009</v>
      </c>
      <c r="N239" s="168">
        <f>IF(L239="","",L239*'Tabella Carichi Unitari'!$H$17)</f>
        <v>0</v>
      </c>
      <c r="O239" s="168">
        <f>IF(L239="","",L239*'Tabella Carichi Unitari'!$C$17)</f>
        <v>4.6400000000000006</v>
      </c>
      <c r="P239" s="110">
        <f>IF(L239="","",L239*'Tabella Carichi Unitari'!$K$17)</f>
        <v>0</v>
      </c>
      <c r="Q239" s="416">
        <v>0.9</v>
      </c>
      <c r="R239" s="168">
        <f>IF(Q239="","",Q239*'Tabella Carichi Unitari'!$G$17)</f>
        <v>6.7860000000000014</v>
      </c>
      <c r="S239" s="168">
        <f>IF(Q239="","",Q239*'Tabella Carichi Unitari'!$H$17)</f>
        <v>0</v>
      </c>
      <c r="T239" s="168">
        <f>IF(Q239="","",Q239*'Tabella Carichi Unitari'!$C$17)</f>
        <v>5.2200000000000006</v>
      </c>
      <c r="U239" s="110">
        <f>IF(Q239="","",Q239*'Tabella Carichi Unitari'!$K$17)</f>
        <v>0</v>
      </c>
      <c r="V239" s="416">
        <v>0.9</v>
      </c>
      <c r="W239" s="168">
        <f>IF(V239="","",V239*'Tabella Carichi Unitari'!$G$17)</f>
        <v>6.7860000000000014</v>
      </c>
      <c r="X239" s="168">
        <f>IF(V239="","",V239*'Tabella Carichi Unitari'!$H$17)</f>
        <v>0</v>
      </c>
      <c r="Y239" s="168">
        <f>IF(V239="","",V239*'Tabella Carichi Unitari'!$C$17)</f>
        <v>5.2200000000000006</v>
      </c>
      <c r="Z239" s="110">
        <f>IF(V239="","",V239*'Tabella Carichi Unitari'!$K$17)</f>
        <v>0</v>
      </c>
      <c r="AB239" s="416"/>
      <c r="AC239"/>
      <c r="AD239" s="306"/>
      <c r="AE239" s="429">
        <f>SUM(AE233:AE238)</f>
        <v>16.432195</v>
      </c>
      <c r="AF239" s="429">
        <f>SUM(AF233:AF238)</f>
        <v>5.766375</v>
      </c>
      <c r="AG239" s="429">
        <f>SUM(AG233:AG238)</f>
        <v>12.64015</v>
      </c>
      <c r="AH239" s="429">
        <f>SUM(AH233:AH238)</f>
        <v>1.05</v>
      </c>
      <c r="AI239" s="306"/>
      <c r="AJ239" s="429">
        <f>SUM(AJ233:AJ238)</f>
        <v>23.298645499999999</v>
      </c>
      <c r="AK239" s="429">
        <f>SUM(AK233:AK238)</f>
        <v>9.3810000000000002</v>
      </c>
      <c r="AL239" s="429">
        <f>SUM(AL233:AL238)</f>
        <v>17.922035000000001</v>
      </c>
      <c r="AM239" s="429">
        <f>SUM(AM233:AM238)</f>
        <v>2.7023999999999999</v>
      </c>
      <c r="AN239" s="306"/>
      <c r="AO239" s="429">
        <f>SUM(AO233:AO238)</f>
        <v>24.273645499999997</v>
      </c>
      <c r="AP239" s="429">
        <f>SUM(AP233:AP238)</f>
        <v>9.3810000000000002</v>
      </c>
      <c r="AQ239" s="429">
        <f>SUM(AQ233:AQ238)</f>
        <v>18.672035000000001</v>
      </c>
      <c r="AR239" s="109">
        <f>SUM(AR233:AR238)</f>
        <v>2.7023999999999999</v>
      </c>
      <c r="AS239" s="430"/>
      <c r="AT239" s="429">
        <f>SUM(AT233:AT238)</f>
        <v>21.348990000000001</v>
      </c>
      <c r="AU239" s="429">
        <f t="shared" ref="AU239:AW239" si="222">SUM(AU233:AU238)</f>
        <v>5.25</v>
      </c>
      <c r="AV239" s="429">
        <f t="shared" si="222"/>
        <v>16.4223</v>
      </c>
      <c r="AW239" s="429">
        <f t="shared" si="222"/>
        <v>1.05</v>
      </c>
      <c r="AX239" s="430"/>
      <c r="AY239" s="429">
        <f>SUM(AY233:AY238)</f>
        <v>21.348990000000001</v>
      </c>
      <c r="AZ239" s="429">
        <f t="shared" ref="AZ239:BB239" si="223">SUM(AZ233:AZ238)</f>
        <v>5.25</v>
      </c>
      <c r="BA239" s="429">
        <f t="shared" si="223"/>
        <v>16.4223</v>
      </c>
      <c r="BB239" s="429">
        <f t="shared" si="223"/>
        <v>1.05</v>
      </c>
    </row>
    <row r="240" spans="1:54" x14ac:dyDescent="0.25">
      <c r="B240" s="306"/>
      <c r="C240" s="415">
        <f>SUM(C234:C239)</f>
        <v>9.4539899999999992</v>
      </c>
      <c r="D240" s="415">
        <f>SUM(D234:D239)</f>
        <v>0.83024999999999982</v>
      </c>
      <c r="E240" s="415">
        <f>SUM(E234:E239)</f>
        <v>7.2722999999999987</v>
      </c>
      <c r="F240" s="415">
        <f>SUM(F234:F239)</f>
        <v>0</v>
      </c>
      <c r="G240" s="306"/>
      <c r="H240" s="415">
        <f>SUM(H234:H239)</f>
        <v>16.763200999999999</v>
      </c>
      <c r="I240" s="415">
        <f>SUM(I234:I239)</f>
        <v>6.6419999999999986</v>
      </c>
      <c r="J240" s="415">
        <f>SUM(J234:J239)</f>
        <v>12.894769999999999</v>
      </c>
      <c r="K240" s="415">
        <f>SUM(K234:K239)</f>
        <v>2.6567999999999992</v>
      </c>
      <c r="L240" s="306"/>
      <c r="M240" s="415">
        <f>SUM(M234:M239)</f>
        <v>17.738200999999997</v>
      </c>
      <c r="N240" s="415">
        <f>SUM(N234:N239)</f>
        <v>6.6419999999999986</v>
      </c>
      <c r="O240" s="415">
        <f>SUM(O234:O239)</f>
        <v>13.644769999999999</v>
      </c>
      <c r="P240" s="109">
        <f>SUM(P234:P239)</f>
        <v>2.6567999999999992</v>
      </c>
      <c r="Q240" s="416"/>
      <c r="R240" s="415">
        <f>SUM(R234:R239)</f>
        <v>15.083640000000001</v>
      </c>
      <c r="S240" s="415">
        <f t="shared" ref="S240:U240" si="224">SUM(S234:S239)</f>
        <v>1.5</v>
      </c>
      <c r="T240" s="415">
        <f t="shared" si="224"/>
        <v>11.6028</v>
      </c>
      <c r="U240" s="415">
        <f t="shared" si="224"/>
        <v>0.3</v>
      </c>
      <c r="V240" s="416"/>
      <c r="W240" s="415">
        <f>SUM(W234:W239)</f>
        <v>15.083640000000001</v>
      </c>
      <c r="X240" s="415">
        <f t="shared" ref="X240:Z240" si="225">SUM(X234:X239)</f>
        <v>1.5</v>
      </c>
      <c r="Y240" s="415">
        <f t="shared" si="225"/>
        <v>11.6028</v>
      </c>
      <c r="Z240" s="415">
        <f t="shared" si="225"/>
        <v>0.3</v>
      </c>
      <c r="AB240" s="416"/>
      <c r="AC240"/>
      <c r="AD240" s="428"/>
      <c r="AE240" s="612">
        <f>AE239+AF239</f>
        <v>22.19857</v>
      </c>
      <c r="AF240" s="612"/>
      <c r="AG240" s="612">
        <f>AG239+AH239</f>
        <v>13.690150000000001</v>
      </c>
      <c r="AH240" s="612"/>
      <c r="AI240" s="428"/>
      <c r="AJ240" s="612">
        <f>AJ239+AK239</f>
        <v>32.679645499999999</v>
      </c>
      <c r="AK240" s="612"/>
      <c r="AL240" s="612">
        <f>AL239+AM239</f>
        <v>20.624435000000002</v>
      </c>
      <c r="AM240" s="612"/>
      <c r="AN240" s="428"/>
      <c r="AO240" s="612">
        <f>AO239+AP239</f>
        <v>33.654645500000001</v>
      </c>
      <c r="AP240" s="612"/>
      <c r="AQ240" s="612">
        <f>AQ239+AR239</f>
        <v>21.374435000000002</v>
      </c>
      <c r="AR240" s="612"/>
      <c r="AS240" s="430"/>
      <c r="AT240" s="612">
        <f>AT239+AU239</f>
        <v>26.598990000000001</v>
      </c>
      <c r="AU240" s="612"/>
      <c r="AV240" s="612">
        <f>AV239+AW239</f>
        <v>17.472300000000001</v>
      </c>
      <c r="AW240" s="612"/>
      <c r="AX240" s="430"/>
      <c r="AY240" s="612">
        <f>AY239+AZ239</f>
        <v>26.598990000000001</v>
      </c>
      <c r="AZ240" s="612"/>
      <c r="BA240" s="612">
        <f>BA239+BB239</f>
        <v>17.472300000000001</v>
      </c>
      <c r="BB240" s="612"/>
    </row>
    <row r="241" spans="1:54" x14ac:dyDescent="0.25">
      <c r="B241" s="412"/>
      <c r="C241" s="612">
        <f>C240+D240</f>
        <v>10.284239999999999</v>
      </c>
      <c r="D241" s="612"/>
      <c r="E241" s="612">
        <f>E240+F240</f>
        <v>7.2722999999999987</v>
      </c>
      <c r="F241" s="612"/>
      <c r="G241" s="412"/>
      <c r="H241" s="612">
        <f>H240+I240</f>
        <v>23.405200999999998</v>
      </c>
      <c r="I241" s="612"/>
      <c r="J241" s="612">
        <f>J240+K240</f>
        <v>15.551569999999998</v>
      </c>
      <c r="K241" s="612"/>
      <c r="L241" s="412"/>
      <c r="M241" s="612">
        <f>M240+N240</f>
        <v>24.380200999999996</v>
      </c>
      <c r="N241" s="612"/>
      <c r="O241" s="612">
        <f>O240+P240</f>
        <v>16.301569999999998</v>
      </c>
      <c r="P241" s="612"/>
      <c r="Q241" s="416"/>
      <c r="R241" s="612">
        <f>R240+S240</f>
        <v>16.583640000000003</v>
      </c>
      <c r="S241" s="612"/>
      <c r="T241" s="612">
        <f>T240+U240</f>
        <v>11.902800000000001</v>
      </c>
      <c r="U241" s="612"/>
      <c r="V241" s="416"/>
      <c r="W241" s="612">
        <f>W240+X240</f>
        <v>16.583640000000003</v>
      </c>
      <c r="X241" s="612"/>
      <c r="Y241" s="612">
        <f>Y240+Z240</f>
        <v>11.902800000000001</v>
      </c>
      <c r="Z241" s="612"/>
      <c r="AB241" s="416"/>
      <c r="AC241" s="430"/>
      <c r="AD241" s="430"/>
      <c r="AE241" s="430"/>
      <c r="AF241" s="430"/>
      <c r="AG241" s="430"/>
      <c r="AH241" s="430"/>
      <c r="AI241" s="430"/>
      <c r="AJ241" s="430"/>
      <c r="AK241" s="430"/>
      <c r="AL241" s="430"/>
      <c r="AM241" s="430"/>
      <c r="AN241" s="430"/>
      <c r="AO241" s="430"/>
      <c r="AP241" s="430"/>
      <c r="AQ241" s="430"/>
      <c r="AR241" s="430"/>
      <c r="AS241" s="430"/>
      <c r="AT241" s="430"/>
      <c r="AU241" s="430"/>
      <c r="AV241" s="430"/>
      <c r="AW241" s="430"/>
    </row>
    <row r="242" spans="1:54" x14ac:dyDescent="0.25">
      <c r="B242" s="416"/>
      <c r="G242" s="416"/>
      <c r="L242" s="416"/>
      <c r="Q242" s="416"/>
      <c r="V242" s="416"/>
      <c r="AB242" s="416"/>
      <c r="AC242" s="403" t="s">
        <v>393</v>
      </c>
      <c r="AD242" s="430"/>
      <c r="AE242" t="s">
        <v>399</v>
      </c>
      <c r="AF242"/>
      <c r="AG242"/>
      <c r="AH242"/>
      <c r="AI242" s="430"/>
      <c r="AJ242" t="s">
        <v>400</v>
      </c>
      <c r="AK242"/>
      <c r="AL242"/>
      <c r="AM242"/>
      <c r="AN242" s="430"/>
      <c r="AO242" t="s">
        <v>401</v>
      </c>
      <c r="AP242"/>
      <c r="AQ242"/>
      <c r="AR242"/>
      <c r="AS242" s="430"/>
      <c r="AT242" t="s">
        <v>232</v>
      </c>
      <c r="AU242"/>
      <c r="AV242"/>
      <c r="AW242"/>
      <c r="AX242" s="430"/>
      <c r="AY242" t="s">
        <v>402</v>
      </c>
    </row>
    <row r="243" spans="1:54" x14ac:dyDescent="0.25">
      <c r="A243" s="402" t="s">
        <v>427</v>
      </c>
      <c r="B243" s="416"/>
      <c r="G243" s="416"/>
      <c r="L243" s="416"/>
      <c r="Q243" s="416"/>
      <c r="V243" s="416"/>
      <c r="AB243" s="416"/>
      <c r="AC243" s="404" t="s">
        <v>450</v>
      </c>
      <c r="AD243" s="430"/>
      <c r="AE243"/>
      <c r="AF243"/>
      <c r="AG243"/>
      <c r="AH243"/>
      <c r="AI243" s="430"/>
      <c r="AJ243"/>
      <c r="AK243"/>
      <c r="AL243"/>
      <c r="AM243"/>
      <c r="AN243" s="430"/>
      <c r="AO243"/>
      <c r="AP243"/>
      <c r="AQ243"/>
      <c r="AR243"/>
      <c r="AS243" s="430"/>
      <c r="AT243"/>
      <c r="AU243"/>
      <c r="AV243"/>
      <c r="AW243"/>
      <c r="AX243" s="430"/>
    </row>
    <row r="244" spans="1:54" x14ac:dyDescent="0.25">
      <c r="A244" s="403" t="s">
        <v>393</v>
      </c>
      <c r="B244" s="416"/>
      <c r="C244" t="s">
        <v>399</v>
      </c>
      <c r="G244" s="416"/>
      <c r="H244" t="s">
        <v>400</v>
      </c>
      <c r="L244" s="416"/>
      <c r="M244" t="s">
        <v>401</v>
      </c>
      <c r="Q244" s="416"/>
      <c r="R244" t="s">
        <v>232</v>
      </c>
      <c r="V244" s="416"/>
      <c r="W244" t="s">
        <v>402</v>
      </c>
      <c r="AB244" s="416"/>
      <c r="AC244"/>
      <c r="AD244" s="306"/>
      <c r="AE244" s="430" t="s">
        <v>386</v>
      </c>
      <c r="AF244" s="430" t="s">
        <v>396</v>
      </c>
      <c r="AG244" s="430" t="s">
        <v>288</v>
      </c>
      <c r="AH244" s="418" t="s">
        <v>406</v>
      </c>
      <c r="AI244" s="306"/>
      <c r="AJ244" s="430" t="s">
        <v>386</v>
      </c>
      <c r="AK244" s="430" t="s">
        <v>396</v>
      </c>
      <c r="AL244" s="430" t="s">
        <v>288</v>
      </c>
      <c r="AM244" s="418" t="s">
        <v>407</v>
      </c>
      <c r="AN244" s="306"/>
      <c r="AO244" s="430" t="s">
        <v>386</v>
      </c>
      <c r="AP244" s="430" t="s">
        <v>396</v>
      </c>
      <c r="AQ244" s="430" t="s">
        <v>288</v>
      </c>
      <c r="AR244" s="411" t="s">
        <v>407</v>
      </c>
      <c r="AS244" s="306"/>
      <c r="AT244" s="430" t="s">
        <v>386</v>
      </c>
      <c r="AU244" s="430" t="s">
        <v>396</v>
      </c>
      <c r="AV244" s="430" t="s">
        <v>288</v>
      </c>
      <c r="AW244" s="411" t="s">
        <v>407</v>
      </c>
      <c r="AX244" s="306"/>
      <c r="AY244" s="430" t="s">
        <v>386</v>
      </c>
      <c r="AZ244" s="430" t="s">
        <v>396</v>
      </c>
      <c r="BA244" s="430" t="s">
        <v>288</v>
      </c>
      <c r="BB244" s="411" t="s">
        <v>407</v>
      </c>
    </row>
    <row r="245" spans="1:54" x14ac:dyDescent="0.25">
      <c r="A245" s="404" t="s">
        <v>428</v>
      </c>
      <c r="B245" s="416"/>
      <c r="G245" s="416"/>
      <c r="L245" s="416"/>
      <c r="Q245" s="416"/>
      <c r="V245" s="416"/>
      <c r="AB245" s="416"/>
      <c r="AC245" t="s">
        <v>312</v>
      </c>
      <c r="AD245" s="106">
        <f>(3.9/2)*1</f>
        <v>1.95</v>
      </c>
      <c r="AE245" s="429">
        <f>IF(AD245="","",AD245*'Tabella Carichi Unitari'!$G$8)</f>
        <v>10.14</v>
      </c>
      <c r="AF245" s="429">
        <f>IF(AD245="","",AD245*'Tabella Carichi Unitari'!$H$8)</f>
        <v>5.85</v>
      </c>
      <c r="AG245" s="429">
        <f>IF(AD245="","",AD245*'Tabella Carichi Unitari'!$C$8)</f>
        <v>7.8</v>
      </c>
      <c r="AH245" s="429">
        <f>IF(AD245="","",AD245*'Tabella Carichi Unitari'!$K$8)</f>
        <v>1.17</v>
      </c>
      <c r="AI245" s="106">
        <f>(3.5/2)*1</f>
        <v>1.75</v>
      </c>
      <c r="AJ245" s="429">
        <f>IF(AI245="","",AI245*'Tabella Carichi Unitari'!$G$5)</f>
        <v>8.77149</v>
      </c>
      <c r="AK245" s="429">
        <f>IF(AI245="","",AI245*'Tabella Carichi Unitari'!$H$5)</f>
        <v>5.25</v>
      </c>
      <c r="AL245" s="429">
        <f>IF(AI245="","",AI245*'Tabella Carichi Unitari'!$C$5)</f>
        <v>6.7472999999999992</v>
      </c>
      <c r="AM245" s="429">
        <f>IF(AI245="","",AI245*'Tabella Carichi Unitari'!$K$5)</f>
        <v>1.05</v>
      </c>
      <c r="AN245" s="106">
        <f>(3.9/2)*1</f>
        <v>1.95</v>
      </c>
      <c r="AO245" s="429">
        <f>IF(AN245="","",AN245*'Tabella Carichi Unitari'!$G$5)</f>
        <v>9.7739459999999987</v>
      </c>
      <c r="AP245" s="429">
        <f>IF(AN245="","",AN245*'Tabella Carichi Unitari'!$H$5)</f>
        <v>5.85</v>
      </c>
      <c r="AQ245" s="429">
        <f>IF(AN245="","",AN245*'Tabella Carichi Unitari'!$C$5)</f>
        <v>7.518419999999999</v>
      </c>
      <c r="AR245" s="109">
        <f>IF(AN245="","",AN245*'Tabella Carichi Unitari'!$K$5)</f>
        <v>1.17</v>
      </c>
      <c r="AS245" s="430">
        <f>(3.5/2)*1</f>
        <v>1.75</v>
      </c>
      <c r="AT245" s="429">
        <f>IF(AS245="","",AS245*'Tabella Carichi Unitari'!$G$5)</f>
        <v>8.77149</v>
      </c>
      <c r="AU245" s="429">
        <f>IF(AS245="","",AS245*'Tabella Carichi Unitari'!$H$5)</f>
        <v>5.25</v>
      </c>
      <c r="AV245" s="429">
        <f>IF(AS245="","",AS245*'Tabella Carichi Unitari'!$C$5)</f>
        <v>6.7472999999999992</v>
      </c>
      <c r="AW245" s="109">
        <f>IF(AS245="","",AS245*'Tabella Carichi Unitari'!$K$5)</f>
        <v>1.05</v>
      </c>
      <c r="AX245" s="430">
        <f>(3.5/2)*1</f>
        <v>1.75</v>
      </c>
      <c r="AY245" s="429">
        <f>IF(AX245="","",AX245*'Tabella Carichi Unitari'!$G$5)</f>
        <v>8.77149</v>
      </c>
      <c r="AZ245" s="429">
        <f>IF(AX245="","",AX245*'Tabella Carichi Unitari'!$H$5)</f>
        <v>5.25</v>
      </c>
      <c r="BA245" s="429">
        <f>IF(AX245="","",AX245*'Tabella Carichi Unitari'!$C$5)</f>
        <v>6.7472999999999992</v>
      </c>
      <c r="BB245" s="109">
        <f>IF(AX245="","",AX245*'Tabella Carichi Unitari'!$K$5)</f>
        <v>1.05</v>
      </c>
    </row>
    <row r="246" spans="1:54" x14ac:dyDescent="0.25">
      <c r="B246" s="306"/>
      <c r="C246" s="416" t="s">
        <v>386</v>
      </c>
      <c r="D246" s="416" t="s">
        <v>396</v>
      </c>
      <c r="E246" s="416" t="s">
        <v>288</v>
      </c>
      <c r="F246" s="418" t="s">
        <v>406</v>
      </c>
      <c r="G246" s="306"/>
      <c r="H246" s="416" t="s">
        <v>386</v>
      </c>
      <c r="I246" s="416" t="s">
        <v>396</v>
      </c>
      <c r="J246" s="416" t="s">
        <v>288</v>
      </c>
      <c r="K246" s="418" t="s">
        <v>407</v>
      </c>
      <c r="L246" s="306"/>
      <c r="M246" s="416" t="s">
        <v>386</v>
      </c>
      <c r="N246" s="416" t="s">
        <v>396</v>
      </c>
      <c r="O246" s="416" t="s">
        <v>288</v>
      </c>
      <c r="P246" s="411" t="s">
        <v>407</v>
      </c>
      <c r="Q246" s="306"/>
      <c r="R246" s="416" t="s">
        <v>386</v>
      </c>
      <c r="S246" s="416" t="s">
        <v>396</v>
      </c>
      <c r="T246" s="416" t="s">
        <v>288</v>
      </c>
      <c r="U246" s="411" t="s">
        <v>407</v>
      </c>
      <c r="V246" s="306"/>
      <c r="W246" s="416" t="s">
        <v>386</v>
      </c>
      <c r="X246" s="416" t="s">
        <v>396</v>
      </c>
      <c r="Y246" s="416" t="s">
        <v>288</v>
      </c>
      <c r="Z246" s="411" t="s">
        <v>407</v>
      </c>
      <c r="AB246" s="416"/>
      <c r="AC246" t="s">
        <v>314</v>
      </c>
      <c r="AD246" s="106">
        <f>(0.5+0.15)</f>
        <v>0.65</v>
      </c>
      <c r="AE246" s="429">
        <f>IF(AD246="","",AD246*'Tabella Carichi Unitari'!$G$11)</f>
        <v>3.2955000000000001</v>
      </c>
      <c r="AF246" s="429">
        <f>IF(AD246="","",AD246*'Tabella Carichi Unitari'!$H$11)</f>
        <v>0.48750000000000004</v>
      </c>
      <c r="AG246" s="429">
        <f>IF(AD246="","",AD246*'Tabella Carichi Unitari'!$C$11)</f>
        <v>2.5350000000000001</v>
      </c>
      <c r="AH246" s="429">
        <f>IF(AD246="","",AD246*'Tabella Carichi Unitari'!$K$11)</f>
        <v>0</v>
      </c>
      <c r="AI246" s="106">
        <f>AD246</f>
        <v>0.65</v>
      </c>
      <c r="AJ246" s="429">
        <f>IF(AI246="","",AI246*'Tabella Carichi Unitari'!$G$10)</f>
        <v>3.4729499999999995</v>
      </c>
      <c r="AK246" s="429">
        <f>IF(AI246="","",AI246*'Tabella Carichi Unitari'!$H$10)</f>
        <v>3.9000000000000004</v>
      </c>
      <c r="AL246" s="429">
        <f>IF(AI246="","",AI246*'Tabella Carichi Unitari'!$C$10)</f>
        <v>2.6714999999999995</v>
      </c>
      <c r="AM246" s="429">
        <f>IF(AI246="","",AI246*'Tabella Carichi Unitari'!$K$10)</f>
        <v>1.56</v>
      </c>
      <c r="AN246" s="106">
        <f>AD246</f>
        <v>0.65</v>
      </c>
      <c r="AO246" s="429">
        <f>IF(AN246="","",AN246*'Tabella Carichi Unitari'!$G$10)</f>
        <v>3.4729499999999995</v>
      </c>
      <c r="AP246" s="429">
        <f>IF(AN246="","",AN246*'Tabella Carichi Unitari'!$H$10)</f>
        <v>3.9000000000000004</v>
      </c>
      <c r="AQ246" s="429">
        <f>IF(AN246="","",AN246*'Tabella Carichi Unitari'!$C$10)</f>
        <v>2.6714999999999995</v>
      </c>
      <c r="AR246" s="109">
        <f>IF(AN246="","",AN246*'Tabella Carichi Unitari'!$K$10)</f>
        <v>1.56</v>
      </c>
      <c r="AS246" s="430"/>
      <c r="AT246" s="429" t="str">
        <f>IF(AS246="","",AS246*'Tabella Carichi Unitari'!$G$10)</f>
        <v/>
      </c>
      <c r="AU246" s="429" t="str">
        <f>IF(AS246="","",AS246*'Tabella Carichi Unitari'!$H$10)</f>
        <v/>
      </c>
      <c r="AV246" s="429" t="str">
        <f>IF(AS246="","",AS246*'Tabella Carichi Unitari'!$C$10)</f>
        <v/>
      </c>
      <c r="AW246" s="109" t="str">
        <f>IF(AS246="","",AS246*'Tabella Carichi Unitari'!$K$10)</f>
        <v/>
      </c>
      <c r="AX246" s="430"/>
      <c r="AY246" s="429" t="str">
        <f>IF(AX246="","",AX246*'Tabella Carichi Unitari'!$G$10)</f>
        <v/>
      </c>
      <c r="AZ246" s="429" t="str">
        <f>IF(AX246="","",AX246*'Tabella Carichi Unitari'!$H$10)</f>
        <v/>
      </c>
      <c r="BA246" s="429" t="str">
        <f>IF(AX246="","",AX246*'Tabella Carichi Unitari'!$C$10)</f>
        <v/>
      </c>
      <c r="BB246" s="109" t="str">
        <f>IF(AX246="","",AX246*'Tabella Carichi Unitari'!$K$10)</f>
        <v/>
      </c>
    </row>
    <row r="247" spans="1:54" x14ac:dyDescent="0.25">
      <c r="A247" t="s">
        <v>312</v>
      </c>
      <c r="B247" s="106"/>
      <c r="C247" s="415" t="str">
        <f>IF(B247="","",B247*'Tabella Carichi Unitari'!$G$8)</f>
        <v/>
      </c>
      <c r="D247" s="415" t="str">
        <f>IF(B247="","",B247*'Tabella Carichi Unitari'!$H$8)</f>
        <v/>
      </c>
      <c r="E247" s="415" t="str">
        <f>IF(B247="","",B247*'Tabella Carichi Unitari'!$C$8)</f>
        <v/>
      </c>
      <c r="F247" s="415" t="str">
        <f>IF(B247="","",B247*'Tabella Carichi Unitari'!$K$8)</f>
        <v/>
      </c>
      <c r="G247" s="106"/>
      <c r="H247" s="415" t="str">
        <f>IF(G247="","",G247*'Tabella Carichi Unitari'!$G$5)</f>
        <v/>
      </c>
      <c r="I247" s="415" t="str">
        <f>IF(G247="","",G247*'Tabella Carichi Unitari'!$H$5)</f>
        <v/>
      </c>
      <c r="J247" s="415" t="str">
        <f>IF(G247="","",G247*'Tabella Carichi Unitari'!$C$5)</f>
        <v/>
      </c>
      <c r="K247" s="415" t="str">
        <f>IF(G247="","",G247*'Tabella Carichi Unitari'!$K$5)</f>
        <v/>
      </c>
      <c r="L247" s="106"/>
      <c r="M247" s="415" t="str">
        <f>IF(L247="","",L247*'Tabella Carichi Unitari'!$G$5)</f>
        <v/>
      </c>
      <c r="N247" s="415" t="str">
        <f>IF(L247="","",L247*'Tabella Carichi Unitari'!$H$5)</f>
        <v/>
      </c>
      <c r="O247" s="415" t="str">
        <f>IF(L247="","",L247*'Tabella Carichi Unitari'!$C$5)</f>
        <v/>
      </c>
      <c r="P247" s="109" t="str">
        <f>IF(L247="","",L247*'Tabella Carichi Unitari'!$K$5)</f>
        <v/>
      </c>
      <c r="Q247" s="416">
        <v>0.5</v>
      </c>
      <c r="R247" s="415">
        <f>IF(Q247="","",Q247*'Tabella Carichi Unitari'!$G$5)</f>
        <v>2.5061399999999998</v>
      </c>
      <c r="S247" s="415">
        <f>IF(Q247="","",Q247*'Tabella Carichi Unitari'!$H$5)</f>
        <v>1.5</v>
      </c>
      <c r="T247" s="415">
        <f>IF(Q247="","",Q247*'Tabella Carichi Unitari'!$C$5)</f>
        <v>1.9277999999999997</v>
      </c>
      <c r="U247" s="109">
        <f>IF(Q247="","",Q247*'Tabella Carichi Unitari'!$K$5)</f>
        <v>0.3</v>
      </c>
      <c r="V247" s="416">
        <v>0.5</v>
      </c>
      <c r="W247" s="415">
        <f>IF(V247="","",V247*'Tabella Carichi Unitari'!$G$5)</f>
        <v>2.5061399999999998</v>
      </c>
      <c r="X247" s="415">
        <f>IF(V247="","",V247*'Tabella Carichi Unitari'!$H$5)</f>
        <v>1.5</v>
      </c>
      <c r="Y247" s="415">
        <f>IF(V247="","",V247*'Tabella Carichi Unitari'!$C$5)</f>
        <v>1.9277999999999997</v>
      </c>
      <c r="Z247" s="109">
        <f>IF(V247="","",V247*'Tabella Carichi Unitari'!$K$5)</f>
        <v>0.3</v>
      </c>
      <c r="AB247" s="416"/>
      <c r="AC247" t="s">
        <v>315</v>
      </c>
      <c r="AD247" s="106"/>
      <c r="AE247" s="429" t="str">
        <f>IF(AD247="","",AD247*'Tabella Carichi Unitari'!$G$12)</f>
        <v/>
      </c>
      <c r="AF247" s="429" t="str">
        <f>IF(AD247="","",AD247*'Tabella Carichi Unitari'!$H$12)</f>
        <v/>
      </c>
      <c r="AG247" s="429" t="str">
        <f>IF(AD247="","",AD247*'Tabella Carichi Unitari'!$C$12)</f>
        <v/>
      </c>
      <c r="AH247" s="429" t="str">
        <f>IF(AD247="","",AD247*'Tabella Carichi Unitari'!$K$12)</f>
        <v/>
      </c>
      <c r="AI247" s="106"/>
      <c r="AJ247" s="429" t="str">
        <f>IF(AI247="","",AI247*'Tabella Carichi Unitari'!$G$12)</f>
        <v/>
      </c>
      <c r="AK247" s="429" t="str">
        <f>IF(AI247="","",AI247*'Tabella Carichi Unitari'!$H$12)</f>
        <v/>
      </c>
      <c r="AL247" s="429" t="str">
        <f>IF(AI247="","",AI247*'Tabella Carichi Unitari'!$C$12)</f>
        <v/>
      </c>
      <c r="AM247" s="429" t="str">
        <f>IF(AI247="","",AI247*'Tabella Carichi Unitari'!$K$12)</f>
        <v/>
      </c>
      <c r="AN247" s="106"/>
      <c r="AO247" s="429" t="str">
        <f>IF(AN247="","",AN247*'Tabella Carichi Unitari'!$G$12)</f>
        <v/>
      </c>
      <c r="AP247" s="429" t="str">
        <f>IF(AN247="","",AN247*'Tabella Carichi Unitari'!$H$12)</f>
        <v/>
      </c>
      <c r="AQ247" s="429" t="str">
        <f>IF(AN247="","",AN247*'Tabella Carichi Unitari'!$C$12)</f>
        <v/>
      </c>
      <c r="AR247" s="109" t="str">
        <f>IF(AN247="","",AN247*'Tabella Carichi Unitari'!$K$12)</f>
        <v/>
      </c>
      <c r="AS247" s="430"/>
      <c r="AT247" s="429" t="str">
        <f>IF(AS247="","",AS247*'Tabella Carichi Unitari'!$G$12)</f>
        <v/>
      </c>
      <c r="AU247" s="429" t="str">
        <f>IF(AS247="","",AS247*'Tabella Carichi Unitari'!$H$12)</f>
        <v/>
      </c>
      <c r="AV247" s="429" t="str">
        <f>IF(AS247="","",AS247*'Tabella Carichi Unitari'!$C$12)</f>
        <v/>
      </c>
      <c r="AW247" s="109" t="str">
        <f>IF(AS247="","",AS247*'Tabella Carichi Unitari'!$K$12)</f>
        <v/>
      </c>
      <c r="AX247" s="430"/>
      <c r="AY247" s="429" t="str">
        <f>IF(AX247="","",AX247*'Tabella Carichi Unitari'!$G$12)</f>
        <v/>
      </c>
      <c r="AZ247" s="429" t="str">
        <f>IF(AX247="","",AX247*'Tabella Carichi Unitari'!$H$12)</f>
        <v/>
      </c>
      <c r="BA247" s="429" t="str">
        <f>IF(AX247="","",AX247*'Tabella Carichi Unitari'!$C$12)</f>
        <v/>
      </c>
      <c r="BB247" s="109" t="str">
        <f>IF(AX247="","",AX247*'Tabella Carichi Unitari'!$K$12)</f>
        <v/>
      </c>
    </row>
    <row r="248" spans="1:54" x14ac:dyDescent="0.25">
      <c r="A248" t="s">
        <v>314</v>
      </c>
      <c r="B248" s="106">
        <f>(1.2+0.15)*2*0.38</f>
        <v>1.0259999999999998</v>
      </c>
      <c r="C248" s="415">
        <f>IF(B248="","",B248*'Tabella Carichi Unitari'!$G$11)</f>
        <v>5.2018199999999997</v>
      </c>
      <c r="D248" s="415">
        <f>IF(B248="","",B248*'Tabella Carichi Unitari'!$H$11)</f>
        <v>0.76949999999999985</v>
      </c>
      <c r="E248" s="415">
        <f>IF(B248="","",B248*'Tabella Carichi Unitari'!$C$11)</f>
        <v>4.0013999999999994</v>
      </c>
      <c r="F248" s="415">
        <f>IF(B248="","",B248*'Tabella Carichi Unitari'!$K$11)</f>
        <v>0</v>
      </c>
      <c r="G248" s="106">
        <f>B248</f>
        <v>1.0259999999999998</v>
      </c>
      <c r="H248" s="415">
        <f>IF(G248="","",G248*'Tabella Carichi Unitari'!$G$10)</f>
        <v>5.4819179999999976</v>
      </c>
      <c r="I248" s="415">
        <f>IF(G248="","",G248*'Tabella Carichi Unitari'!$H$10)</f>
        <v>6.1559999999999988</v>
      </c>
      <c r="J248" s="415">
        <f>IF(G248="","",G248*'Tabella Carichi Unitari'!$C$10)</f>
        <v>4.2168599999999987</v>
      </c>
      <c r="K248" s="415">
        <f>IF(G248="","",G248*'Tabella Carichi Unitari'!$K$10)</f>
        <v>2.4623999999999993</v>
      </c>
      <c r="L248" s="106">
        <f>B248</f>
        <v>1.0259999999999998</v>
      </c>
      <c r="M248" s="415">
        <f>IF(L248="","",L248*'Tabella Carichi Unitari'!$G$10)</f>
        <v>5.4819179999999976</v>
      </c>
      <c r="N248" s="415">
        <f>IF(L248="","",L248*'Tabella Carichi Unitari'!$H$10)</f>
        <v>6.1559999999999988</v>
      </c>
      <c r="O248" s="415">
        <f>IF(L248="","",L248*'Tabella Carichi Unitari'!$C$10)</f>
        <v>4.2168599999999987</v>
      </c>
      <c r="P248" s="109">
        <f>IF(L248="","",L248*'Tabella Carichi Unitari'!$K$10)</f>
        <v>2.4623999999999993</v>
      </c>
      <c r="Q248" s="416"/>
      <c r="R248" s="415" t="str">
        <f>IF(Q248="","",Q248*'Tabella Carichi Unitari'!$G$10)</f>
        <v/>
      </c>
      <c r="S248" s="415" t="str">
        <f>IF(Q248="","",Q248*'Tabella Carichi Unitari'!$H$10)</f>
        <v/>
      </c>
      <c r="T248" s="415" t="str">
        <f>IF(Q248="","",Q248*'Tabella Carichi Unitari'!$C$10)</f>
        <v/>
      </c>
      <c r="U248" s="109" t="str">
        <f>IF(Q248="","",Q248*'Tabella Carichi Unitari'!$K$10)</f>
        <v/>
      </c>
      <c r="V248" s="416"/>
      <c r="W248" s="415" t="str">
        <f>IF(V248="","",V248*'Tabella Carichi Unitari'!$G$10)</f>
        <v/>
      </c>
      <c r="X248" s="415" t="str">
        <f>IF(V248="","",V248*'Tabella Carichi Unitari'!$H$10)</f>
        <v/>
      </c>
      <c r="Y248" s="415" t="str">
        <f>IF(V248="","",V248*'Tabella Carichi Unitari'!$C$10)</f>
        <v/>
      </c>
      <c r="Z248" s="109" t="str">
        <f>IF(V248="","",V248*'Tabella Carichi Unitari'!$K$10)</f>
        <v/>
      </c>
      <c r="AB248" s="416"/>
      <c r="AC248" t="s">
        <v>391</v>
      </c>
      <c r="AD248" s="306">
        <v>1</v>
      </c>
      <c r="AE248" s="429">
        <f>IF(AD248="","",AD248*'Tabella Carichi Unitari'!$G$15)</f>
        <v>3.8415000000000004</v>
      </c>
      <c r="AF248" s="429">
        <f>IF(AD248="","",AD248*'Tabella Carichi Unitari'!$H$15)</f>
        <v>0</v>
      </c>
      <c r="AG248" s="429">
        <f>IF(AD248="","",AD248*'Tabella Carichi Unitari'!$C$15)</f>
        <v>2.9550000000000001</v>
      </c>
      <c r="AH248" s="429">
        <f>IF(AD248="","",AD248*'Tabella Carichi Unitari'!$K$15)</f>
        <v>0</v>
      </c>
      <c r="AI248" s="306">
        <v>1</v>
      </c>
      <c r="AJ248" s="429">
        <f>IF(AI248="","",AI248*'Tabella Carichi Unitari'!$G$14)</f>
        <v>4.8165000000000004</v>
      </c>
      <c r="AK248" s="429">
        <f>IF(AI248="","",AI248*'Tabella Carichi Unitari'!$H$14)</f>
        <v>0</v>
      </c>
      <c r="AL248" s="429">
        <f>IF(AI248="","",AI248*'Tabella Carichi Unitari'!$C$14)</f>
        <v>3.7050000000000001</v>
      </c>
      <c r="AM248" s="429">
        <f>IF(AI248="","",AI248*'Tabella Carichi Unitari'!$K$14)</f>
        <v>0</v>
      </c>
      <c r="AN248" s="306">
        <v>1</v>
      </c>
      <c r="AO248" s="429">
        <f>IF(AN248="","",AN248*'Tabella Carichi Unitari'!$G$13)</f>
        <v>5.7915000000000001</v>
      </c>
      <c r="AP248" s="429">
        <f>IF(AN248="","",AN248*'Tabella Carichi Unitari'!$H$13)</f>
        <v>0</v>
      </c>
      <c r="AQ248" s="429">
        <f>IF(AN248="","",AN248*'Tabella Carichi Unitari'!$C$13)</f>
        <v>4.4550000000000001</v>
      </c>
      <c r="AR248" s="109">
        <f>IF(AN248="","",AN248*'Tabella Carichi Unitari'!$K$13)</f>
        <v>0</v>
      </c>
      <c r="AS248" s="430">
        <v>1</v>
      </c>
      <c r="AT248" s="429">
        <f>IF(AS248="","",AS248*'Tabella Carichi Unitari'!$G$13)</f>
        <v>5.7915000000000001</v>
      </c>
      <c r="AU248" s="429">
        <f>IF(AS248="","",AS248*'Tabella Carichi Unitari'!$H$13)</f>
        <v>0</v>
      </c>
      <c r="AV248" s="429">
        <f>IF(AS248="","",AS248*'Tabella Carichi Unitari'!$C$13)</f>
        <v>4.4550000000000001</v>
      </c>
      <c r="AW248" s="109">
        <f>IF(AS248="","",AS248*'Tabella Carichi Unitari'!$K$13)</f>
        <v>0</v>
      </c>
      <c r="AX248" s="430">
        <v>1</v>
      </c>
      <c r="AY248" s="429">
        <f>IF(AX248="","",AX248*'Tabella Carichi Unitari'!$G$13)</f>
        <v>5.7915000000000001</v>
      </c>
      <c r="AZ248" s="429">
        <f>IF(AX248="","",AX248*'Tabella Carichi Unitari'!$H$13)</f>
        <v>0</v>
      </c>
      <c r="BA248" s="429">
        <f>IF(AX248="","",AX248*'Tabella Carichi Unitari'!$C$13)</f>
        <v>4.4550000000000001</v>
      </c>
      <c r="BB248" s="109">
        <f>IF(AX248="","",AX248*'Tabella Carichi Unitari'!$K$13)</f>
        <v>0</v>
      </c>
    </row>
    <row r="249" spans="1:54" x14ac:dyDescent="0.25">
      <c r="A249" t="s">
        <v>315</v>
      </c>
      <c r="B249" s="106"/>
      <c r="C249" s="415" t="str">
        <f>IF(B249="","",B249*'Tabella Carichi Unitari'!$G$12)</f>
        <v/>
      </c>
      <c r="D249" s="415" t="str">
        <f>IF(B249="","",B249*'Tabella Carichi Unitari'!$H$12)</f>
        <v/>
      </c>
      <c r="E249" s="415" t="str">
        <f>IF(B249="","",B249*'Tabella Carichi Unitari'!$C$12)</f>
        <v/>
      </c>
      <c r="F249" s="415" t="str">
        <f>IF(B249="","",B249*'Tabella Carichi Unitari'!$K$12)</f>
        <v/>
      </c>
      <c r="G249" s="106"/>
      <c r="H249" s="415" t="str">
        <f>IF(G249="","",G249*'Tabella Carichi Unitari'!$G$12)</f>
        <v/>
      </c>
      <c r="I249" s="415" t="str">
        <f>IF(G249="","",G249*'Tabella Carichi Unitari'!$H$12)</f>
        <v/>
      </c>
      <c r="J249" s="415" t="str">
        <f>IF(G249="","",G249*'Tabella Carichi Unitari'!$C$12)</f>
        <v/>
      </c>
      <c r="K249" s="415" t="str">
        <f>IF(G249="","",G249*'Tabella Carichi Unitari'!$K$12)</f>
        <v/>
      </c>
      <c r="L249" s="106"/>
      <c r="M249" s="415" t="str">
        <f>IF(L249="","",L249*'Tabella Carichi Unitari'!$G$12)</f>
        <v/>
      </c>
      <c r="N249" s="415" t="str">
        <f>IF(L249="","",L249*'Tabella Carichi Unitari'!$H$12)</f>
        <v/>
      </c>
      <c r="O249" s="415" t="str">
        <f>IF(L249="","",L249*'Tabella Carichi Unitari'!$C$12)</f>
        <v/>
      </c>
      <c r="P249" s="109" t="str">
        <f>IF(L249="","",L249*'Tabella Carichi Unitari'!$K$12)</f>
        <v/>
      </c>
      <c r="Q249" s="416"/>
      <c r="R249" s="415" t="str">
        <f>IF(Q249="","",Q249*'Tabella Carichi Unitari'!$G$12)</f>
        <v/>
      </c>
      <c r="S249" s="415" t="str">
        <f>IF(Q249="","",Q249*'Tabella Carichi Unitari'!$H$12)</f>
        <v/>
      </c>
      <c r="T249" s="415" t="str">
        <f>IF(Q249="","",Q249*'Tabella Carichi Unitari'!$C$12)</f>
        <v/>
      </c>
      <c r="U249" s="109" t="str">
        <f>IF(Q249="","",Q249*'Tabella Carichi Unitari'!$K$12)</f>
        <v/>
      </c>
      <c r="V249" s="416"/>
      <c r="W249" s="415" t="str">
        <f>IF(V249="","",V249*'Tabella Carichi Unitari'!$G$12)</f>
        <v/>
      </c>
      <c r="X249" s="415" t="str">
        <f>IF(V249="","",V249*'Tabella Carichi Unitari'!$H$12)</f>
        <v/>
      </c>
      <c r="Y249" s="415" t="str">
        <f>IF(V249="","",V249*'Tabella Carichi Unitari'!$C$12)</f>
        <v/>
      </c>
      <c r="Z249" s="109" t="str">
        <f>IF(V249="","",V249*'Tabella Carichi Unitari'!$K$12)</f>
        <v/>
      </c>
      <c r="AB249" s="416"/>
      <c r="AC249" t="s">
        <v>392</v>
      </c>
      <c r="AD249" s="306"/>
      <c r="AE249" s="429" t="str">
        <f>IF(AD249="","",AD249*'Tabella Carichi Unitari'!$G$16)</f>
        <v/>
      </c>
      <c r="AF249" s="429" t="str">
        <f>IF(AD249="","",AD249*'Tabella Carichi Unitari'!$H$16)</f>
        <v/>
      </c>
      <c r="AG249" s="429" t="str">
        <f>IF(AD249="","",AD249*'Tabella Carichi Unitari'!$C$16)</f>
        <v/>
      </c>
      <c r="AH249" s="429" t="str">
        <f>IF(AD249="","",AD249*'Tabella Carichi Unitari'!$K$16)</f>
        <v/>
      </c>
      <c r="AI249" s="306"/>
      <c r="AJ249" s="429" t="str">
        <f>IF(AI249="","",AI249*'Tabella Carichi Unitari'!$G$16)</f>
        <v/>
      </c>
      <c r="AK249" s="429" t="str">
        <f>IF(AI249="","",AI249*'Tabella Carichi Unitari'!$H$16)</f>
        <v/>
      </c>
      <c r="AL249" s="429" t="str">
        <f>IF(AI249="","",AI249*'Tabella Carichi Unitari'!$C$16)</f>
        <v/>
      </c>
      <c r="AM249" s="429" t="str">
        <f>IF(AI249="","",AI249*'Tabella Carichi Unitari'!$K$16)</f>
        <v/>
      </c>
      <c r="AN249" s="306"/>
      <c r="AO249" s="429" t="str">
        <f>IF(AN249="","",AN249*'Tabella Carichi Unitari'!$G$9)</f>
        <v/>
      </c>
      <c r="AP249" s="429" t="str">
        <f>IF(AN249="","",AN249*'Tabella Carichi Unitari'!$H$9)</f>
        <v/>
      </c>
      <c r="AQ249" s="429" t="str">
        <f>IF(AN249="","",AN249*'Tabella Carichi Unitari'!$C$9)</f>
        <v/>
      </c>
      <c r="AR249" s="109" t="str">
        <f>IF(AN249="","",AN249*'Tabella Carichi Unitari'!$K$9)</f>
        <v/>
      </c>
      <c r="AS249" s="430"/>
      <c r="AT249" s="429" t="str">
        <f>IF(AS249="","",AS249*'Tabella Carichi Unitari'!$G$9)</f>
        <v/>
      </c>
      <c r="AU249" s="429" t="str">
        <f>IF(AS249="","",AS249*'Tabella Carichi Unitari'!$H$9)</f>
        <v/>
      </c>
      <c r="AV249" s="429" t="str">
        <f>IF(AS249="","",AS249*'Tabella Carichi Unitari'!$C$9)</f>
        <v/>
      </c>
      <c r="AW249" s="109" t="str">
        <f>IF(AS249="","",AS249*'Tabella Carichi Unitari'!$K$9)</f>
        <v/>
      </c>
      <c r="AX249" s="430"/>
      <c r="AY249" s="429" t="str">
        <f>IF(AX249="","",AX249*'Tabella Carichi Unitari'!$G$9)</f>
        <v/>
      </c>
      <c r="AZ249" s="429" t="str">
        <f>IF(AX249="","",AX249*'Tabella Carichi Unitari'!$H$9)</f>
        <v/>
      </c>
      <c r="BA249" s="429" t="str">
        <f>IF(AX249="","",AX249*'Tabella Carichi Unitari'!$C$9)</f>
        <v/>
      </c>
      <c r="BB249" s="109" t="str">
        <f>IF(AX249="","",AX249*'Tabella Carichi Unitari'!$K$9)</f>
        <v/>
      </c>
    </row>
    <row r="250" spans="1:54" x14ac:dyDescent="0.25">
      <c r="A250" t="s">
        <v>391</v>
      </c>
      <c r="B250" s="306">
        <v>1</v>
      </c>
      <c r="C250" s="415">
        <f>IF(B250="","",B250*'Tabella Carichi Unitari'!$G$15)</f>
        <v>3.8415000000000004</v>
      </c>
      <c r="D250" s="415">
        <f>IF(B250="","",B250*'Tabella Carichi Unitari'!$H$15)</f>
        <v>0</v>
      </c>
      <c r="E250" s="415">
        <f>IF(B250="","",B250*'Tabella Carichi Unitari'!$C$15)</f>
        <v>2.9550000000000001</v>
      </c>
      <c r="F250" s="415">
        <f>IF(B250="","",B250*'Tabella Carichi Unitari'!$K$15)</f>
        <v>0</v>
      </c>
      <c r="G250" s="306">
        <v>1</v>
      </c>
      <c r="H250" s="415">
        <f>IF(G250="","",G250*'Tabella Carichi Unitari'!$G$14)</f>
        <v>4.8165000000000004</v>
      </c>
      <c r="I250" s="415">
        <f>IF(G250="","",G250*'Tabella Carichi Unitari'!$H$14)</f>
        <v>0</v>
      </c>
      <c r="J250" s="415">
        <f>IF(G250="","",G250*'Tabella Carichi Unitari'!$C$14)</f>
        <v>3.7050000000000001</v>
      </c>
      <c r="K250" s="415">
        <f>IF(G250="","",G250*'Tabella Carichi Unitari'!$K$14)</f>
        <v>0</v>
      </c>
      <c r="L250" s="306">
        <v>1</v>
      </c>
      <c r="M250" s="415">
        <f>IF(L250="","",L250*'Tabella Carichi Unitari'!$G$13)</f>
        <v>5.7915000000000001</v>
      </c>
      <c r="N250" s="415">
        <f>IF(L250="","",L250*'Tabella Carichi Unitari'!$H$13)</f>
        <v>0</v>
      </c>
      <c r="O250" s="415">
        <f>IF(L250="","",L250*'Tabella Carichi Unitari'!$C$13)</f>
        <v>4.4550000000000001</v>
      </c>
      <c r="P250" s="109">
        <f>IF(L250="","",L250*'Tabella Carichi Unitari'!$K$13)</f>
        <v>0</v>
      </c>
      <c r="Q250" s="416">
        <v>1</v>
      </c>
      <c r="R250" s="415">
        <f>IF(Q250="","",Q250*'Tabella Carichi Unitari'!$G$13)</f>
        <v>5.7915000000000001</v>
      </c>
      <c r="S250" s="415">
        <f>IF(Q250="","",Q250*'Tabella Carichi Unitari'!$H$13)</f>
        <v>0</v>
      </c>
      <c r="T250" s="415">
        <f>IF(Q250="","",Q250*'Tabella Carichi Unitari'!$C$13)</f>
        <v>4.4550000000000001</v>
      </c>
      <c r="U250" s="109">
        <f>IF(Q250="","",Q250*'Tabella Carichi Unitari'!$K$13)</f>
        <v>0</v>
      </c>
      <c r="V250" s="416">
        <v>1</v>
      </c>
      <c r="W250" s="415">
        <f>IF(V250="","",V250*'Tabella Carichi Unitari'!$G$13)</f>
        <v>5.7915000000000001</v>
      </c>
      <c r="X250" s="415">
        <f>IF(V250="","",V250*'Tabella Carichi Unitari'!$H$13)</f>
        <v>0</v>
      </c>
      <c r="Y250" s="415">
        <f>IF(V250="","",V250*'Tabella Carichi Unitari'!$C$13)</f>
        <v>4.4550000000000001</v>
      </c>
      <c r="Z250" s="109">
        <f>IF(V250="","",V250*'Tabella Carichi Unitari'!$K$13)</f>
        <v>0</v>
      </c>
      <c r="AB250" s="416"/>
      <c r="AC250" t="s">
        <v>313</v>
      </c>
      <c r="AD250" s="306"/>
      <c r="AE250" s="168" t="str">
        <f>IF(AD250="","",AD250*'Tabella Carichi Unitari'!$G$17)</f>
        <v/>
      </c>
      <c r="AF250" s="168" t="str">
        <f>IF(AD250="","",AD250*'Tabella Carichi Unitari'!$H$17)</f>
        <v/>
      </c>
      <c r="AG250" s="168" t="str">
        <f>IF(AD250="","",AD250*'Tabella Carichi Unitari'!$C$17)</f>
        <v/>
      </c>
      <c r="AH250" s="110" t="str">
        <f>IF(AD250="","",AD250*'Tabella Carichi Unitari'!$K$17)</f>
        <v/>
      </c>
      <c r="AI250" s="306">
        <v>0.9</v>
      </c>
      <c r="AJ250" s="168">
        <f>IF(AI250="","",AI250*'Tabella Carichi Unitari'!$G$17)</f>
        <v>6.7860000000000014</v>
      </c>
      <c r="AK250" s="168">
        <f>IF(AI250="","",AI250*'Tabella Carichi Unitari'!$H$17)</f>
        <v>0</v>
      </c>
      <c r="AL250" s="168">
        <f>IF(AI250="","",AI250*'Tabella Carichi Unitari'!$C$17)</f>
        <v>5.2200000000000006</v>
      </c>
      <c r="AM250" s="110">
        <f>IF(AI250="","",AI250*'Tabella Carichi Unitari'!$K$17)</f>
        <v>0</v>
      </c>
      <c r="AN250" s="306">
        <v>0.9</v>
      </c>
      <c r="AO250" s="168">
        <f>IF(AN250="","",AN250*'Tabella Carichi Unitari'!$G$17)</f>
        <v>6.7860000000000014</v>
      </c>
      <c r="AP250" s="168">
        <f>IF(AN250="","",AN250*'Tabella Carichi Unitari'!$H$17)</f>
        <v>0</v>
      </c>
      <c r="AQ250" s="168">
        <f>IF(AN250="","",AN250*'Tabella Carichi Unitari'!$C$17)</f>
        <v>5.2200000000000006</v>
      </c>
      <c r="AR250" s="110">
        <f>IF(AN250="","",AN250*'Tabella Carichi Unitari'!$K$17)</f>
        <v>0</v>
      </c>
      <c r="AS250" s="430">
        <v>0.9</v>
      </c>
      <c r="AT250" s="168">
        <f>IF(AS250="","",AS250*'Tabella Carichi Unitari'!$G$17)</f>
        <v>6.7860000000000014</v>
      </c>
      <c r="AU250" s="168">
        <f>IF(AS250="","",AS250*'Tabella Carichi Unitari'!$H$17)</f>
        <v>0</v>
      </c>
      <c r="AV250" s="168">
        <f>IF(AS250="","",AS250*'Tabella Carichi Unitari'!$C$17)</f>
        <v>5.2200000000000006</v>
      </c>
      <c r="AW250" s="110">
        <f>IF(AS250="","",AS250*'Tabella Carichi Unitari'!$K$17)</f>
        <v>0</v>
      </c>
      <c r="AX250" s="430">
        <v>0.9</v>
      </c>
      <c r="AY250" s="168">
        <f>IF(AX250="","",AX250*'Tabella Carichi Unitari'!$G$17)</f>
        <v>6.7860000000000014</v>
      </c>
      <c r="AZ250" s="168">
        <f>IF(AX250="","",AX250*'Tabella Carichi Unitari'!$H$17)</f>
        <v>0</v>
      </c>
      <c r="BA250" s="168">
        <f>IF(AX250="","",AX250*'Tabella Carichi Unitari'!$C$17)</f>
        <v>5.2200000000000006</v>
      </c>
      <c r="BB250" s="110">
        <f>IF(AX250="","",AX250*'Tabella Carichi Unitari'!$K$17)</f>
        <v>0</v>
      </c>
    </row>
    <row r="251" spans="1:54" x14ac:dyDescent="0.25">
      <c r="A251" t="s">
        <v>392</v>
      </c>
      <c r="B251" s="306"/>
      <c r="C251" s="415" t="str">
        <f>IF(B251="","",B251*'Tabella Carichi Unitari'!$G$16)</f>
        <v/>
      </c>
      <c r="D251" s="415" t="str">
        <f>IF(B251="","",B251*'Tabella Carichi Unitari'!$H$16)</f>
        <v/>
      </c>
      <c r="E251" s="415" t="str">
        <f>IF(B251="","",B251*'Tabella Carichi Unitari'!$C$16)</f>
        <v/>
      </c>
      <c r="F251" s="415" t="str">
        <f>IF(B251="","",B251*'Tabella Carichi Unitari'!$K$16)</f>
        <v/>
      </c>
      <c r="G251" s="306"/>
      <c r="H251" s="415" t="str">
        <f>IF(G251="","",G251*'Tabella Carichi Unitari'!$G$16)</f>
        <v/>
      </c>
      <c r="I251" s="415" t="str">
        <f>IF(G251="","",G251*'Tabella Carichi Unitari'!$H$16)</f>
        <v/>
      </c>
      <c r="J251" s="415" t="str">
        <f>IF(G251="","",G251*'Tabella Carichi Unitari'!$C$16)</f>
        <v/>
      </c>
      <c r="K251" s="415" t="str">
        <f>IF(G251="","",G251*'Tabella Carichi Unitari'!$K$16)</f>
        <v/>
      </c>
      <c r="L251" s="306"/>
      <c r="M251" s="415" t="str">
        <f>IF(L251="","",L251*'Tabella Carichi Unitari'!$G$9)</f>
        <v/>
      </c>
      <c r="N251" s="415" t="str">
        <f>IF(L251="","",L251*'Tabella Carichi Unitari'!$H$9)</f>
        <v/>
      </c>
      <c r="O251" s="415" t="str">
        <f>IF(L251="","",L251*'Tabella Carichi Unitari'!$C$9)</f>
        <v/>
      </c>
      <c r="P251" s="109" t="str">
        <f>IF(L251="","",L251*'Tabella Carichi Unitari'!$K$9)</f>
        <v/>
      </c>
      <c r="Q251" s="416"/>
      <c r="R251" s="415" t="str">
        <f>IF(Q251="","",Q251*'Tabella Carichi Unitari'!$G$9)</f>
        <v/>
      </c>
      <c r="S251" s="415" t="str">
        <f>IF(Q251="","",Q251*'Tabella Carichi Unitari'!$H$9)</f>
        <v/>
      </c>
      <c r="T251" s="415" t="str">
        <f>IF(Q251="","",Q251*'Tabella Carichi Unitari'!$C$9)</f>
        <v/>
      </c>
      <c r="U251" s="109" t="str">
        <f>IF(Q251="","",Q251*'Tabella Carichi Unitari'!$K$9)</f>
        <v/>
      </c>
      <c r="V251" s="416"/>
      <c r="W251" s="415" t="str">
        <f>IF(V251="","",V251*'Tabella Carichi Unitari'!$G$9)</f>
        <v/>
      </c>
      <c r="X251" s="415" t="str">
        <f>IF(V251="","",V251*'Tabella Carichi Unitari'!$H$9)</f>
        <v/>
      </c>
      <c r="Y251" s="415" t="str">
        <f>IF(V251="","",V251*'Tabella Carichi Unitari'!$C$9)</f>
        <v/>
      </c>
      <c r="Z251" s="109" t="str">
        <f>IF(V251="","",V251*'Tabella Carichi Unitari'!$K$9)</f>
        <v/>
      </c>
      <c r="AB251" s="416"/>
      <c r="AC251"/>
      <c r="AD251" s="306"/>
      <c r="AE251" s="429">
        <f>SUM(AE245:AE250)</f>
        <v>17.277000000000001</v>
      </c>
      <c r="AF251" s="429">
        <f>SUM(AF245:AF250)</f>
        <v>6.3374999999999995</v>
      </c>
      <c r="AG251" s="429">
        <f>SUM(AG245:AG250)</f>
        <v>13.290000000000001</v>
      </c>
      <c r="AH251" s="429">
        <f>SUM(AH245:AH250)</f>
        <v>1.17</v>
      </c>
      <c r="AI251" s="306"/>
      <c r="AJ251" s="429">
        <f>SUM(AJ245:AJ250)</f>
        <v>23.84694</v>
      </c>
      <c r="AK251" s="429">
        <f>SUM(AK245:AK250)</f>
        <v>9.15</v>
      </c>
      <c r="AL251" s="429">
        <f>SUM(AL245:AL250)</f>
        <v>18.343800000000002</v>
      </c>
      <c r="AM251" s="429">
        <f>SUM(AM245:AM250)</f>
        <v>2.6100000000000003</v>
      </c>
      <c r="AN251" s="306"/>
      <c r="AO251" s="429">
        <f>SUM(AO245:AO250)</f>
        <v>25.824396</v>
      </c>
      <c r="AP251" s="429">
        <f>SUM(AP245:AP250)</f>
        <v>9.75</v>
      </c>
      <c r="AQ251" s="429">
        <f>SUM(AQ245:AQ250)</f>
        <v>19.864919999999998</v>
      </c>
      <c r="AR251" s="109">
        <f>SUM(AR245:AR250)</f>
        <v>2.73</v>
      </c>
      <c r="AS251" s="430"/>
      <c r="AT251" s="429">
        <f>SUM(AT245:AT250)</f>
        <v>21.348990000000001</v>
      </c>
      <c r="AU251" s="429">
        <f t="shared" ref="AU251:AW251" si="226">SUM(AU245:AU250)</f>
        <v>5.25</v>
      </c>
      <c r="AV251" s="429">
        <f t="shared" si="226"/>
        <v>16.4223</v>
      </c>
      <c r="AW251" s="429">
        <f t="shared" si="226"/>
        <v>1.05</v>
      </c>
      <c r="AX251" s="430"/>
      <c r="AY251" s="429">
        <f>SUM(AY245:AY250)</f>
        <v>21.348990000000001</v>
      </c>
      <c r="AZ251" s="429">
        <f t="shared" ref="AZ251:BB251" si="227">SUM(AZ245:AZ250)</f>
        <v>5.25</v>
      </c>
      <c r="BA251" s="429">
        <f t="shared" si="227"/>
        <v>16.4223</v>
      </c>
      <c r="BB251" s="429">
        <f t="shared" si="227"/>
        <v>1.05</v>
      </c>
    </row>
    <row r="252" spans="1:54" x14ac:dyDescent="0.25">
      <c r="A252" t="s">
        <v>313</v>
      </c>
      <c r="B252" s="306"/>
      <c r="C252" s="168" t="str">
        <f>IF(B252="","",B252*'Tabella Carichi Unitari'!$G$17)</f>
        <v/>
      </c>
      <c r="D252" s="168" t="str">
        <f>IF(B252="","",B252*'Tabella Carichi Unitari'!$H$17)</f>
        <v/>
      </c>
      <c r="E252" s="168" t="str">
        <f>IF(B252="","",B252*'Tabella Carichi Unitari'!$C$17)</f>
        <v/>
      </c>
      <c r="F252" s="110" t="str">
        <f>IF(B252="","",B252*'Tabella Carichi Unitari'!$K$17)</f>
        <v/>
      </c>
      <c r="G252" s="306">
        <v>0.8</v>
      </c>
      <c r="H252" s="168">
        <f>IF(G252="","",G252*'Tabella Carichi Unitari'!$G$17)</f>
        <v>6.0320000000000009</v>
      </c>
      <c r="I252" s="168">
        <f>IF(G252="","",G252*'Tabella Carichi Unitari'!$H$17)</f>
        <v>0</v>
      </c>
      <c r="J252" s="168">
        <f>IF(G252="","",G252*'Tabella Carichi Unitari'!$C$17)</f>
        <v>4.6400000000000006</v>
      </c>
      <c r="K252" s="110">
        <f>IF(G252="","",G252*'Tabella Carichi Unitari'!$K$17)</f>
        <v>0</v>
      </c>
      <c r="L252" s="306">
        <v>0.8</v>
      </c>
      <c r="M252" s="168">
        <f>IF(L252="","",L252*'Tabella Carichi Unitari'!$G$17)</f>
        <v>6.0320000000000009</v>
      </c>
      <c r="N252" s="168">
        <f>IF(L252="","",L252*'Tabella Carichi Unitari'!$H$17)</f>
        <v>0</v>
      </c>
      <c r="O252" s="168">
        <f>IF(L252="","",L252*'Tabella Carichi Unitari'!$C$17)</f>
        <v>4.6400000000000006</v>
      </c>
      <c r="P252" s="110">
        <f>IF(L252="","",L252*'Tabella Carichi Unitari'!$K$17)</f>
        <v>0</v>
      </c>
      <c r="Q252" s="416">
        <v>0.9</v>
      </c>
      <c r="R252" s="168">
        <f>IF(Q252="","",Q252*'Tabella Carichi Unitari'!$G$17)</f>
        <v>6.7860000000000014</v>
      </c>
      <c r="S252" s="168">
        <f>IF(Q252="","",Q252*'Tabella Carichi Unitari'!$H$17)</f>
        <v>0</v>
      </c>
      <c r="T252" s="168">
        <f>IF(Q252="","",Q252*'Tabella Carichi Unitari'!$C$17)</f>
        <v>5.2200000000000006</v>
      </c>
      <c r="U252" s="110">
        <f>IF(Q252="","",Q252*'Tabella Carichi Unitari'!$K$17)</f>
        <v>0</v>
      </c>
      <c r="V252" s="416">
        <v>0.9</v>
      </c>
      <c r="W252" s="168">
        <f>IF(V252="","",V252*'Tabella Carichi Unitari'!$G$17)</f>
        <v>6.7860000000000014</v>
      </c>
      <c r="X252" s="168">
        <f>IF(V252="","",V252*'Tabella Carichi Unitari'!$H$17)</f>
        <v>0</v>
      </c>
      <c r="Y252" s="168">
        <f>IF(V252="","",V252*'Tabella Carichi Unitari'!$C$17)</f>
        <v>5.2200000000000006</v>
      </c>
      <c r="Z252" s="110">
        <f>IF(V252="","",V252*'Tabella Carichi Unitari'!$K$17)</f>
        <v>0</v>
      </c>
      <c r="AB252" s="416"/>
      <c r="AC252"/>
      <c r="AD252" s="428"/>
      <c r="AE252" s="612">
        <f>AE251+AF251</f>
        <v>23.6145</v>
      </c>
      <c r="AF252" s="612"/>
      <c r="AG252" s="612">
        <f>AG251+AH251</f>
        <v>14.46</v>
      </c>
      <c r="AH252" s="612"/>
      <c r="AI252" s="428"/>
      <c r="AJ252" s="612">
        <f>AJ251+AK251</f>
        <v>32.996940000000002</v>
      </c>
      <c r="AK252" s="612"/>
      <c r="AL252" s="612">
        <f>AL251+AM251</f>
        <v>20.953800000000001</v>
      </c>
      <c r="AM252" s="612"/>
      <c r="AN252" s="428"/>
      <c r="AO252" s="612">
        <f>AO251+AP251</f>
        <v>35.574396</v>
      </c>
      <c r="AP252" s="612"/>
      <c r="AQ252" s="612">
        <f>AQ251+AR251</f>
        <v>22.594919999999998</v>
      </c>
      <c r="AR252" s="612"/>
      <c r="AS252" s="430"/>
      <c r="AT252" s="612">
        <f>AT251+AU251</f>
        <v>26.598990000000001</v>
      </c>
      <c r="AU252" s="612"/>
      <c r="AV252" s="612">
        <f>AV251+AW251</f>
        <v>17.472300000000001</v>
      </c>
      <c r="AW252" s="612"/>
      <c r="AX252" s="430"/>
      <c r="AY252" s="612">
        <f>AY251+AZ251</f>
        <v>26.598990000000001</v>
      </c>
      <c r="AZ252" s="612"/>
      <c r="BA252" s="612">
        <f>BA251+BB251</f>
        <v>17.472300000000001</v>
      </c>
      <c r="BB252" s="612"/>
    </row>
    <row r="253" spans="1:54" x14ac:dyDescent="0.25">
      <c r="B253" s="306"/>
      <c r="C253" s="415">
        <f>SUM(C247:C252)</f>
        <v>9.0433199999999996</v>
      </c>
      <c r="D253" s="415">
        <f>SUM(D247:D252)</f>
        <v>0.76949999999999985</v>
      </c>
      <c r="E253" s="415">
        <f>SUM(E247:E252)</f>
        <v>6.9563999999999995</v>
      </c>
      <c r="F253" s="415">
        <f>SUM(F247:F252)</f>
        <v>0</v>
      </c>
      <c r="G253" s="306"/>
      <c r="H253" s="415">
        <f>SUM(H247:H252)</f>
        <v>16.330417999999998</v>
      </c>
      <c r="I253" s="415">
        <f>SUM(I247:I252)</f>
        <v>6.1559999999999988</v>
      </c>
      <c r="J253" s="415">
        <f>SUM(J247:J252)</f>
        <v>12.561859999999999</v>
      </c>
      <c r="K253" s="415">
        <f>SUM(K247:K252)</f>
        <v>2.4623999999999993</v>
      </c>
      <c r="L253" s="306"/>
      <c r="M253" s="415">
        <f>SUM(M247:M252)</f>
        <v>17.305418</v>
      </c>
      <c r="N253" s="415">
        <f>SUM(N247:N252)</f>
        <v>6.1559999999999988</v>
      </c>
      <c r="O253" s="415">
        <f>SUM(O247:O252)</f>
        <v>13.311859999999999</v>
      </c>
      <c r="P253" s="109">
        <f>SUM(P247:P252)</f>
        <v>2.4623999999999993</v>
      </c>
      <c r="Q253" s="416"/>
      <c r="R253" s="415">
        <f>SUM(R247:R252)</f>
        <v>15.083640000000001</v>
      </c>
      <c r="S253" s="415">
        <f t="shared" ref="S253:U253" si="228">SUM(S247:S252)</f>
        <v>1.5</v>
      </c>
      <c r="T253" s="415">
        <f t="shared" si="228"/>
        <v>11.6028</v>
      </c>
      <c r="U253" s="415">
        <f t="shared" si="228"/>
        <v>0.3</v>
      </c>
      <c r="V253" s="416"/>
      <c r="W253" s="415">
        <f>SUM(W247:W252)</f>
        <v>15.083640000000001</v>
      </c>
      <c r="X253" s="415">
        <f t="shared" ref="X253:Z253" si="229">SUM(X247:X252)</f>
        <v>1.5</v>
      </c>
      <c r="Y253" s="415">
        <f t="shared" si="229"/>
        <v>11.6028</v>
      </c>
      <c r="Z253" s="415">
        <f t="shared" si="229"/>
        <v>0.3</v>
      </c>
      <c r="AB253" s="416"/>
      <c r="AC253" s="430"/>
      <c r="AD253" s="430"/>
      <c r="AE253" s="430"/>
      <c r="AF253" s="430"/>
      <c r="AG253" s="430"/>
      <c r="AH253" s="430"/>
      <c r="AI253" s="430"/>
      <c r="AJ253" s="430"/>
      <c r="AK253" s="430"/>
      <c r="AL253" s="430"/>
      <c r="AM253" s="430"/>
      <c r="AN253" s="430"/>
      <c r="AO253" s="430"/>
      <c r="AP253" s="430"/>
      <c r="AQ253" s="430"/>
      <c r="AR253" s="430"/>
      <c r="AS253" s="430"/>
      <c r="AT253" s="430"/>
      <c r="AU253" s="430"/>
      <c r="AV253" s="430"/>
      <c r="AW253" s="430"/>
    </row>
    <row r="254" spans="1:54" x14ac:dyDescent="0.25">
      <c r="B254" s="412"/>
      <c r="C254" s="612">
        <f>C253+D253</f>
        <v>9.8128199999999985</v>
      </c>
      <c r="D254" s="612"/>
      <c r="E254" s="612">
        <f>E253+F253</f>
        <v>6.9563999999999995</v>
      </c>
      <c r="F254" s="612"/>
      <c r="G254" s="412"/>
      <c r="H254" s="612">
        <f>H253+I253</f>
        <v>22.486417999999997</v>
      </c>
      <c r="I254" s="612"/>
      <c r="J254" s="612">
        <f>J253+K253</f>
        <v>15.024259999999998</v>
      </c>
      <c r="K254" s="612"/>
      <c r="L254" s="412"/>
      <c r="M254" s="612">
        <f>M253+N253</f>
        <v>23.461417999999998</v>
      </c>
      <c r="N254" s="612"/>
      <c r="O254" s="612">
        <f>O253+P253</f>
        <v>15.774259999999998</v>
      </c>
      <c r="P254" s="612"/>
      <c r="Q254" s="416"/>
      <c r="R254" s="612">
        <f>R253+S253</f>
        <v>16.583640000000003</v>
      </c>
      <c r="S254" s="612"/>
      <c r="T254" s="612">
        <f>T253+U253</f>
        <v>11.902800000000001</v>
      </c>
      <c r="U254" s="612"/>
      <c r="V254" s="416"/>
      <c r="W254" s="612">
        <f>W253+X253</f>
        <v>16.583640000000003</v>
      </c>
      <c r="X254" s="612"/>
      <c r="Y254" s="612">
        <f>Y253+Z253</f>
        <v>11.902800000000001</v>
      </c>
      <c r="Z254" s="612"/>
      <c r="AB254" s="416"/>
      <c r="AC254" s="416"/>
      <c r="AD254" s="416"/>
      <c r="AE254" s="416"/>
      <c r="AF254" s="416"/>
      <c r="AG254" s="416"/>
      <c r="AH254" s="416"/>
      <c r="AI254" s="416"/>
      <c r="AJ254" s="416"/>
      <c r="AK254" s="416"/>
      <c r="AL254" s="416"/>
      <c r="AM254" s="416"/>
      <c r="AN254" s="416"/>
      <c r="AO254" s="416"/>
      <c r="AP254" s="416"/>
      <c r="AQ254" s="416"/>
      <c r="AR254" s="416"/>
      <c r="AS254" s="416"/>
      <c r="AT254" s="416"/>
      <c r="AU254" s="416"/>
      <c r="AV254" s="416"/>
      <c r="AW254" s="416"/>
    </row>
    <row r="255" spans="1:54" x14ac:dyDescent="0.25">
      <c r="B255" s="416"/>
      <c r="G255" s="416"/>
      <c r="L255" s="416"/>
      <c r="Q255" s="416"/>
      <c r="V255" s="416"/>
      <c r="AB255" s="416"/>
      <c r="AC255" s="416"/>
      <c r="AD255" s="416"/>
      <c r="AE255" s="416"/>
      <c r="AF255" s="416"/>
      <c r="AG255" s="416"/>
      <c r="AH255" s="416"/>
      <c r="AI255" s="416"/>
      <c r="AJ255" s="416"/>
      <c r="AK255" s="416"/>
      <c r="AL255" s="416"/>
      <c r="AM255" s="416"/>
      <c r="AN255" s="416"/>
      <c r="AO255" s="416"/>
      <c r="AP255" s="416"/>
      <c r="AQ255" s="416"/>
      <c r="AR255" s="416"/>
      <c r="AS255" s="416"/>
      <c r="AT255" s="416"/>
      <c r="AU255" s="416"/>
      <c r="AV255" s="416"/>
      <c r="AW255" s="416"/>
    </row>
    <row r="256" spans="1:54" x14ac:dyDescent="0.25">
      <c r="B256" s="416"/>
      <c r="G256" s="416"/>
      <c r="L256" s="416"/>
      <c r="Q256" s="416"/>
      <c r="V256" s="416"/>
      <c r="AB256" s="416"/>
      <c r="AC256" s="416"/>
      <c r="AD256" s="416"/>
      <c r="AE256" s="416"/>
      <c r="AF256" s="416"/>
      <c r="AG256" s="416"/>
      <c r="AH256" s="416"/>
      <c r="AI256" s="416"/>
      <c r="AJ256" s="416"/>
      <c r="AK256" s="416"/>
      <c r="AL256" s="416"/>
      <c r="AM256" s="416"/>
      <c r="AN256" s="416"/>
      <c r="AO256" s="416"/>
      <c r="AP256" s="416"/>
      <c r="AQ256" s="416"/>
      <c r="AR256" s="416"/>
      <c r="AS256" s="416"/>
      <c r="AT256" s="416"/>
      <c r="AU256" s="416"/>
      <c r="AV256" s="416"/>
      <c r="AW256" s="416"/>
    </row>
    <row r="257" spans="1:49" x14ac:dyDescent="0.25">
      <c r="A257" s="403" t="s">
        <v>393</v>
      </c>
      <c r="B257" s="416"/>
      <c r="C257" t="s">
        <v>399</v>
      </c>
      <c r="G257" s="416"/>
      <c r="H257" t="s">
        <v>400</v>
      </c>
      <c r="L257" s="416"/>
      <c r="M257" t="s">
        <v>401</v>
      </c>
      <c r="Q257" s="416"/>
      <c r="R257" t="s">
        <v>232</v>
      </c>
      <c r="V257" s="416"/>
      <c r="W257" t="s">
        <v>402</v>
      </c>
      <c r="AB257" s="416"/>
      <c r="AC257" s="416"/>
      <c r="AD257" s="416"/>
      <c r="AE257" s="416"/>
      <c r="AF257" s="416"/>
      <c r="AG257" s="416"/>
      <c r="AH257" s="416"/>
      <c r="AI257" s="416"/>
      <c r="AJ257" s="416"/>
      <c r="AK257" s="416"/>
      <c r="AL257" s="416"/>
      <c r="AM257" s="416"/>
      <c r="AN257" s="416"/>
      <c r="AO257" s="416"/>
      <c r="AP257" s="416"/>
      <c r="AQ257" s="416"/>
      <c r="AR257" s="416"/>
      <c r="AS257" s="416"/>
      <c r="AT257" s="416"/>
      <c r="AU257" s="416"/>
      <c r="AV257" s="416"/>
      <c r="AW257" s="416"/>
    </row>
    <row r="258" spans="1:49" x14ac:dyDescent="0.25">
      <c r="A258" s="404" t="s">
        <v>429</v>
      </c>
      <c r="B258" s="416"/>
      <c r="G258" s="416"/>
      <c r="L258" s="416"/>
      <c r="Q258" s="416"/>
      <c r="V258" s="416"/>
      <c r="AB258" s="416"/>
      <c r="AC258" s="416"/>
      <c r="AD258" s="416"/>
      <c r="AE258" s="416"/>
      <c r="AF258" s="416"/>
      <c r="AG258" s="416"/>
      <c r="AH258" s="416"/>
      <c r="AI258" s="416"/>
      <c r="AJ258" s="416"/>
      <c r="AK258" s="416"/>
      <c r="AL258" s="416"/>
      <c r="AM258" s="416"/>
      <c r="AN258" s="416"/>
      <c r="AO258" s="416"/>
      <c r="AP258" s="416"/>
      <c r="AQ258" s="416"/>
      <c r="AR258" s="416"/>
      <c r="AS258" s="416"/>
      <c r="AT258" s="416"/>
      <c r="AU258" s="416"/>
      <c r="AV258" s="416"/>
      <c r="AW258" s="416"/>
    </row>
    <row r="259" spans="1:49" x14ac:dyDescent="0.25">
      <c r="B259" s="306"/>
      <c r="C259" s="416" t="s">
        <v>386</v>
      </c>
      <c r="D259" s="416" t="s">
        <v>396</v>
      </c>
      <c r="E259" s="416" t="s">
        <v>288</v>
      </c>
      <c r="F259" s="418" t="s">
        <v>406</v>
      </c>
      <c r="G259" s="306"/>
      <c r="H259" s="416" t="s">
        <v>386</v>
      </c>
      <c r="I259" s="416" t="s">
        <v>396</v>
      </c>
      <c r="J259" s="416" t="s">
        <v>288</v>
      </c>
      <c r="K259" s="418" t="s">
        <v>407</v>
      </c>
      <c r="L259" s="306"/>
      <c r="M259" s="416" t="s">
        <v>386</v>
      </c>
      <c r="N259" s="416" t="s">
        <v>396</v>
      </c>
      <c r="O259" s="416" t="s">
        <v>288</v>
      </c>
      <c r="P259" s="411" t="s">
        <v>407</v>
      </c>
      <c r="Q259" s="306"/>
      <c r="R259" s="416" t="s">
        <v>386</v>
      </c>
      <c r="S259" s="416" t="s">
        <v>396</v>
      </c>
      <c r="T259" s="416" t="s">
        <v>288</v>
      </c>
      <c r="U259" s="411" t="s">
        <v>407</v>
      </c>
      <c r="V259" s="306"/>
      <c r="W259" s="416" t="s">
        <v>386</v>
      </c>
      <c r="X259" s="416" t="s">
        <v>396</v>
      </c>
      <c r="Y259" s="416" t="s">
        <v>288</v>
      </c>
      <c r="Z259" s="411" t="s">
        <v>407</v>
      </c>
      <c r="AB259" s="416"/>
      <c r="AC259" s="416"/>
      <c r="AD259" s="416"/>
      <c r="AE259" s="416"/>
      <c r="AF259" s="416"/>
      <c r="AG259" s="416"/>
      <c r="AH259" s="416"/>
      <c r="AI259" s="416"/>
      <c r="AJ259" s="416"/>
      <c r="AK259" s="416"/>
      <c r="AL259" s="416"/>
      <c r="AM259" s="416"/>
      <c r="AN259" s="416"/>
      <c r="AO259" s="416"/>
      <c r="AP259" s="416"/>
      <c r="AQ259" s="416"/>
      <c r="AR259" s="416"/>
      <c r="AS259" s="416"/>
      <c r="AT259" s="416"/>
      <c r="AU259" s="416"/>
      <c r="AV259" s="416"/>
      <c r="AW259" s="416"/>
    </row>
    <row r="260" spans="1:49" x14ac:dyDescent="0.25">
      <c r="A260" t="s">
        <v>312</v>
      </c>
      <c r="B260" s="106"/>
      <c r="C260" s="415" t="str">
        <f>IF(B260="","",B260*'Tabella Carichi Unitari'!$G$8)</f>
        <v/>
      </c>
      <c r="D260" s="415" t="str">
        <f>IF(B260="","",B260*'Tabella Carichi Unitari'!$H$8)</f>
        <v/>
      </c>
      <c r="E260" s="415" t="str">
        <f>IF(B260="","",B260*'Tabella Carichi Unitari'!$C$8)</f>
        <v/>
      </c>
      <c r="F260" s="415" t="str">
        <f>IF(B260="","",B260*'Tabella Carichi Unitari'!$K$8)</f>
        <v/>
      </c>
      <c r="G260" s="106"/>
      <c r="H260" s="415" t="str">
        <f>IF(G260="","",G260*'Tabella Carichi Unitari'!$G$5)</f>
        <v/>
      </c>
      <c r="I260" s="415" t="str">
        <f>IF(G260="","",G260*'Tabella Carichi Unitari'!$H$5)</f>
        <v/>
      </c>
      <c r="J260" s="415" t="str">
        <f>IF(G260="","",G260*'Tabella Carichi Unitari'!$C$5)</f>
        <v/>
      </c>
      <c r="K260" s="415" t="str">
        <f>IF(G260="","",G260*'Tabella Carichi Unitari'!$K$5)</f>
        <v/>
      </c>
      <c r="L260" s="106"/>
      <c r="M260" s="415" t="str">
        <f>IF(L260="","",L260*'Tabella Carichi Unitari'!$G$5)</f>
        <v/>
      </c>
      <c r="N260" s="415" t="str">
        <f>IF(L260="","",L260*'Tabella Carichi Unitari'!$H$5)</f>
        <v/>
      </c>
      <c r="O260" s="415" t="str">
        <f>IF(L260="","",L260*'Tabella Carichi Unitari'!$C$5)</f>
        <v/>
      </c>
      <c r="P260" s="109" t="str">
        <f>IF(L260="","",L260*'Tabella Carichi Unitari'!$K$5)</f>
        <v/>
      </c>
      <c r="Q260" s="416">
        <v>0.5</v>
      </c>
      <c r="R260" s="415">
        <f>IF(Q260="","",Q260*'Tabella Carichi Unitari'!$G$5)</f>
        <v>2.5061399999999998</v>
      </c>
      <c r="S260" s="415">
        <f>IF(Q260="","",Q260*'Tabella Carichi Unitari'!$H$5)</f>
        <v>1.5</v>
      </c>
      <c r="T260" s="415">
        <f>IF(Q260="","",Q260*'Tabella Carichi Unitari'!$C$5)</f>
        <v>1.9277999999999997</v>
      </c>
      <c r="U260" s="109">
        <f>IF(Q260="","",Q260*'Tabella Carichi Unitari'!$K$5)</f>
        <v>0.3</v>
      </c>
      <c r="V260" s="416">
        <v>0.5</v>
      </c>
      <c r="W260" s="415">
        <f>IF(V260="","",V260*'Tabella Carichi Unitari'!$G$5)</f>
        <v>2.5061399999999998</v>
      </c>
      <c r="X260" s="415">
        <f>IF(V260="","",V260*'Tabella Carichi Unitari'!$H$5)</f>
        <v>1.5</v>
      </c>
      <c r="Y260" s="415">
        <f>IF(V260="","",V260*'Tabella Carichi Unitari'!$C$5)</f>
        <v>1.9277999999999997</v>
      </c>
      <c r="Z260" s="109">
        <f>IF(V260="","",V260*'Tabella Carichi Unitari'!$K$5)</f>
        <v>0.3</v>
      </c>
      <c r="AB260" s="416"/>
      <c r="AC260" s="416"/>
      <c r="AD260" s="416"/>
      <c r="AE260" s="416"/>
      <c r="AF260" s="416"/>
      <c r="AG260" s="416"/>
      <c r="AH260" s="416"/>
      <c r="AI260" s="416"/>
      <c r="AJ260" s="416"/>
      <c r="AK260" s="416"/>
      <c r="AL260" s="416"/>
      <c r="AM260" s="416"/>
      <c r="AN260" s="416"/>
      <c r="AO260" s="416"/>
      <c r="AP260" s="416"/>
      <c r="AQ260" s="416"/>
      <c r="AR260" s="416"/>
      <c r="AS260" s="416"/>
      <c r="AT260" s="416"/>
      <c r="AU260" s="416"/>
      <c r="AV260" s="416"/>
      <c r="AW260" s="416"/>
    </row>
    <row r="261" spans="1:49" x14ac:dyDescent="0.25">
      <c r="A261" t="s">
        <v>314</v>
      </c>
      <c r="B261" s="106">
        <f>(0.5+0.15)*2</f>
        <v>1.3</v>
      </c>
      <c r="C261" s="415">
        <f>IF(B261="","",B261*'Tabella Carichi Unitari'!$G$11)</f>
        <v>6.5910000000000002</v>
      </c>
      <c r="D261" s="415">
        <f>IF(B261="","",B261*'Tabella Carichi Unitari'!$H$11)</f>
        <v>0.97500000000000009</v>
      </c>
      <c r="E261" s="415">
        <f>IF(B261="","",B261*'Tabella Carichi Unitari'!$C$11)</f>
        <v>5.07</v>
      </c>
      <c r="F261" s="415">
        <f>IF(B261="","",B261*'Tabella Carichi Unitari'!$K$11)</f>
        <v>0</v>
      </c>
      <c r="G261" s="106">
        <f>B261</f>
        <v>1.3</v>
      </c>
      <c r="H261" s="415">
        <f>IF(G261="","",G261*'Tabella Carichi Unitari'!$G$10)</f>
        <v>6.9458999999999991</v>
      </c>
      <c r="I261" s="415">
        <f>IF(G261="","",G261*'Tabella Carichi Unitari'!$H$10)</f>
        <v>7.8000000000000007</v>
      </c>
      <c r="J261" s="415">
        <f>IF(G261="","",G261*'Tabella Carichi Unitari'!$C$10)</f>
        <v>5.3429999999999991</v>
      </c>
      <c r="K261" s="415">
        <f>IF(G261="","",G261*'Tabella Carichi Unitari'!$K$10)</f>
        <v>3.12</v>
      </c>
      <c r="L261" s="106">
        <f>B261</f>
        <v>1.3</v>
      </c>
      <c r="M261" s="415">
        <f>IF(L261="","",L261*'Tabella Carichi Unitari'!$G$10)</f>
        <v>6.9458999999999991</v>
      </c>
      <c r="N261" s="415">
        <f>IF(L261="","",L261*'Tabella Carichi Unitari'!$H$10)</f>
        <v>7.8000000000000007</v>
      </c>
      <c r="O261" s="415">
        <f>IF(L261="","",L261*'Tabella Carichi Unitari'!$C$10)</f>
        <v>5.3429999999999991</v>
      </c>
      <c r="P261" s="109">
        <f>IF(L261="","",L261*'Tabella Carichi Unitari'!$K$10)</f>
        <v>3.12</v>
      </c>
      <c r="Q261" s="416"/>
      <c r="R261" s="415" t="str">
        <f>IF(Q261="","",Q261*'Tabella Carichi Unitari'!$G$10)</f>
        <v/>
      </c>
      <c r="S261" s="415" t="str">
        <f>IF(Q261="","",Q261*'Tabella Carichi Unitari'!$H$10)</f>
        <v/>
      </c>
      <c r="T261" s="415" t="str">
        <f>IF(Q261="","",Q261*'Tabella Carichi Unitari'!$C$10)</f>
        <v/>
      </c>
      <c r="U261" s="109" t="str">
        <f>IF(Q261="","",Q261*'Tabella Carichi Unitari'!$K$10)</f>
        <v/>
      </c>
      <c r="V261" s="416"/>
      <c r="W261" s="415" t="str">
        <f>IF(V261="","",V261*'Tabella Carichi Unitari'!$G$10)</f>
        <v/>
      </c>
      <c r="X261" s="415" t="str">
        <f>IF(V261="","",V261*'Tabella Carichi Unitari'!$H$10)</f>
        <v/>
      </c>
      <c r="Y261" s="415" t="str">
        <f>IF(V261="","",V261*'Tabella Carichi Unitari'!$C$10)</f>
        <v/>
      </c>
      <c r="Z261" s="109" t="str">
        <f>IF(V261="","",V261*'Tabella Carichi Unitari'!$K$10)</f>
        <v/>
      </c>
      <c r="AB261" s="416"/>
      <c r="AC261" s="416"/>
      <c r="AD261" s="416"/>
      <c r="AE261" s="416"/>
      <c r="AF261" s="416"/>
      <c r="AG261" s="416"/>
      <c r="AH261" s="416"/>
      <c r="AI261" s="416"/>
      <c r="AJ261" s="416"/>
      <c r="AK261" s="416"/>
      <c r="AL261" s="416"/>
      <c r="AM261" s="416"/>
      <c r="AN261" s="416"/>
      <c r="AO261" s="416"/>
      <c r="AP261" s="416"/>
      <c r="AQ261" s="416"/>
      <c r="AR261" s="416"/>
      <c r="AS261" s="416"/>
      <c r="AT261" s="416"/>
      <c r="AU261" s="416"/>
      <c r="AV261" s="416"/>
      <c r="AW261" s="416"/>
    </row>
    <row r="262" spans="1:49" x14ac:dyDescent="0.25">
      <c r="A262" t="s">
        <v>315</v>
      </c>
      <c r="B262" s="106"/>
      <c r="C262" s="415" t="str">
        <f>IF(B262="","",B262*'Tabella Carichi Unitari'!$G$12)</f>
        <v/>
      </c>
      <c r="D262" s="415" t="str">
        <f>IF(B262="","",B262*'Tabella Carichi Unitari'!$H$12)</f>
        <v/>
      </c>
      <c r="E262" s="415" t="str">
        <f>IF(B262="","",B262*'Tabella Carichi Unitari'!$C$12)</f>
        <v/>
      </c>
      <c r="F262" s="415" t="str">
        <f>IF(B262="","",B262*'Tabella Carichi Unitari'!$K$12)</f>
        <v/>
      </c>
      <c r="G262" s="106"/>
      <c r="H262" s="415" t="str">
        <f>IF(G262="","",G262*'Tabella Carichi Unitari'!$G$12)</f>
        <v/>
      </c>
      <c r="I262" s="415" t="str">
        <f>IF(G262="","",G262*'Tabella Carichi Unitari'!$H$12)</f>
        <v/>
      </c>
      <c r="J262" s="415" t="str">
        <f>IF(G262="","",G262*'Tabella Carichi Unitari'!$C$12)</f>
        <v/>
      </c>
      <c r="K262" s="415" t="str">
        <f>IF(G262="","",G262*'Tabella Carichi Unitari'!$K$12)</f>
        <v/>
      </c>
      <c r="L262" s="106"/>
      <c r="M262" s="415" t="str">
        <f>IF(L262="","",L262*'Tabella Carichi Unitari'!$G$12)</f>
        <v/>
      </c>
      <c r="N262" s="415" t="str">
        <f>IF(L262="","",L262*'Tabella Carichi Unitari'!$H$12)</f>
        <v/>
      </c>
      <c r="O262" s="415" t="str">
        <f>IF(L262="","",L262*'Tabella Carichi Unitari'!$C$12)</f>
        <v/>
      </c>
      <c r="P262" s="109" t="str">
        <f>IF(L262="","",L262*'Tabella Carichi Unitari'!$K$12)</f>
        <v/>
      </c>
      <c r="Q262" s="416"/>
      <c r="R262" s="415" t="str">
        <f>IF(Q262="","",Q262*'Tabella Carichi Unitari'!$G$12)</f>
        <v/>
      </c>
      <c r="S262" s="415" t="str">
        <f>IF(Q262="","",Q262*'Tabella Carichi Unitari'!$H$12)</f>
        <v/>
      </c>
      <c r="T262" s="415" t="str">
        <f>IF(Q262="","",Q262*'Tabella Carichi Unitari'!$C$12)</f>
        <v/>
      </c>
      <c r="U262" s="109" t="str">
        <f>IF(Q262="","",Q262*'Tabella Carichi Unitari'!$K$12)</f>
        <v/>
      </c>
      <c r="V262" s="416"/>
      <c r="W262" s="415" t="str">
        <f>IF(V262="","",V262*'Tabella Carichi Unitari'!$G$12)</f>
        <v/>
      </c>
      <c r="X262" s="415" t="str">
        <f>IF(V262="","",V262*'Tabella Carichi Unitari'!$H$12)</f>
        <v/>
      </c>
      <c r="Y262" s="415" t="str">
        <f>IF(V262="","",V262*'Tabella Carichi Unitari'!$C$12)</f>
        <v/>
      </c>
      <c r="Z262" s="109" t="str">
        <f>IF(V262="","",V262*'Tabella Carichi Unitari'!$K$12)</f>
        <v/>
      </c>
      <c r="AB262" s="416"/>
      <c r="AC262" s="416"/>
      <c r="AD262" s="416"/>
      <c r="AE262" s="416"/>
      <c r="AF262" s="416"/>
      <c r="AG262" s="416"/>
      <c r="AH262" s="416"/>
      <c r="AI262" s="416"/>
      <c r="AJ262" s="416"/>
      <c r="AK262" s="416"/>
      <c r="AL262" s="416"/>
      <c r="AM262" s="416"/>
      <c r="AN262" s="416"/>
      <c r="AO262" s="416"/>
      <c r="AP262" s="416"/>
      <c r="AQ262" s="416"/>
      <c r="AR262" s="416"/>
      <c r="AS262" s="416"/>
      <c r="AT262" s="416"/>
      <c r="AU262" s="416"/>
      <c r="AV262" s="416"/>
      <c r="AW262" s="416"/>
    </row>
    <row r="263" spans="1:49" x14ac:dyDescent="0.25">
      <c r="A263" t="s">
        <v>391</v>
      </c>
      <c r="B263" s="306">
        <v>1</v>
      </c>
      <c r="C263" s="415">
        <f>IF(B263="","",B263*'Tabella Carichi Unitari'!$G$15)</f>
        <v>3.8415000000000004</v>
      </c>
      <c r="D263" s="415">
        <f>IF(B263="","",B263*'Tabella Carichi Unitari'!$H$15)</f>
        <v>0</v>
      </c>
      <c r="E263" s="415">
        <f>IF(B263="","",B263*'Tabella Carichi Unitari'!$C$15)</f>
        <v>2.9550000000000001</v>
      </c>
      <c r="F263" s="415">
        <f>IF(B263="","",B263*'Tabella Carichi Unitari'!$K$15)</f>
        <v>0</v>
      </c>
      <c r="G263" s="306">
        <v>1</v>
      </c>
      <c r="H263" s="415">
        <f>IF(G263="","",G263*'Tabella Carichi Unitari'!$G$14)</f>
        <v>4.8165000000000004</v>
      </c>
      <c r="I263" s="415">
        <f>IF(G263="","",G263*'Tabella Carichi Unitari'!$H$14)</f>
        <v>0</v>
      </c>
      <c r="J263" s="415">
        <f>IF(G263="","",G263*'Tabella Carichi Unitari'!$C$14)</f>
        <v>3.7050000000000001</v>
      </c>
      <c r="K263" s="415">
        <f>IF(G263="","",G263*'Tabella Carichi Unitari'!$K$14)</f>
        <v>0</v>
      </c>
      <c r="L263" s="306">
        <v>1</v>
      </c>
      <c r="M263" s="415">
        <f>IF(L263="","",L263*'Tabella Carichi Unitari'!$G$13)</f>
        <v>5.7915000000000001</v>
      </c>
      <c r="N263" s="415">
        <f>IF(L263="","",L263*'Tabella Carichi Unitari'!$H$13)</f>
        <v>0</v>
      </c>
      <c r="O263" s="415">
        <f>IF(L263="","",L263*'Tabella Carichi Unitari'!$C$13)</f>
        <v>4.4550000000000001</v>
      </c>
      <c r="P263" s="109">
        <f>IF(L263="","",L263*'Tabella Carichi Unitari'!$K$13)</f>
        <v>0</v>
      </c>
      <c r="Q263" s="416">
        <v>1</v>
      </c>
      <c r="R263" s="415">
        <f>IF(Q263="","",Q263*'Tabella Carichi Unitari'!$G$13)</f>
        <v>5.7915000000000001</v>
      </c>
      <c r="S263" s="415">
        <f>IF(Q263="","",Q263*'Tabella Carichi Unitari'!$H$13)</f>
        <v>0</v>
      </c>
      <c r="T263" s="415">
        <f>IF(Q263="","",Q263*'Tabella Carichi Unitari'!$C$13)</f>
        <v>4.4550000000000001</v>
      </c>
      <c r="U263" s="109">
        <f>IF(Q263="","",Q263*'Tabella Carichi Unitari'!$K$13)</f>
        <v>0</v>
      </c>
      <c r="V263" s="416">
        <v>1</v>
      </c>
      <c r="W263" s="415">
        <f>IF(V263="","",V263*'Tabella Carichi Unitari'!$G$13)</f>
        <v>5.7915000000000001</v>
      </c>
      <c r="X263" s="415">
        <f>IF(V263="","",V263*'Tabella Carichi Unitari'!$H$13)</f>
        <v>0</v>
      </c>
      <c r="Y263" s="415">
        <f>IF(V263="","",V263*'Tabella Carichi Unitari'!$C$13)</f>
        <v>4.4550000000000001</v>
      </c>
      <c r="Z263" s="109">
        <f>IF(V263="","",V263*'Tabella Carichi Unitari'!$K$13)</f>
        <v>0</v>
      </c>
      <c r="AB263" s="416"/>
      <c r="AC263" s="416"/>
      <c r="AD263" s="416"/>
      <c r="AE263" s="416"/>
      <c r="AF263" s="416"/>
      <c r="AG263" s="416"/>
      <c r="AH263" s="416"/>
      <c r="AI263" s="416"/>
      <c r="AJ263" s="416"/>
      <c r="AK263" s="416"/>
      <c r="AL263" s="416"/>
      <c r="AM263" s="416"/>
      <c r="AN263" s="416"/>
      <c r="AO263" s="416"/>
      <c r="AP263" s="416"/>
      <c r="AQ263" s="416"/>
      <c r="AR263" s="416"/>
      <c r="AS263" s="416"/>
      <c r="AT263" s="416"/>
      <c r="AU263" s="416"/>
      <c r="AV263" s="416"/>
      <c r="AW263" s="416"/>
    </row>
    <row r="264" spans="1:49" x14ac:dyDescent="0.25">
      <c r="A264" t="s">
        <v>392</v>
      </c>
      <c r="B264" s="306"/>
      <c r="C264" s="415" t="str">
        <f>IF(B264="","",B264*'Tabella Carichi Unitari'!$G$16)</f>
        <v/>
      </c>
      <c r="D264" s="415" t="str">
        <f>IF(B264="","",B264*'Tabella Carichi Unitari'!$H$16)</f>
        <v/>
      </c>
      <c r="E264" s="415" t="str">
        <f>IF(B264="","",B264*'Tabella Carichi Unitari'!$C$16)</f>
        <v/>
      </c>
      <c r="F264" s="415" t="str">
        <f>IF(B264="","",B264*'Tabella Carichi Unitari'!$K$16)</f>
        <v/>
      </c>
      <c r="G264" s="306"/>
      <c r="H264" s="415" t="str">
        <f>IF(G264="","",G264*'Tabella Carichi Unitari'!$G$16)</f>
        <v/>
      </c>
      <c r="I264" s="415" t="str">
        <f>IF(G264="","",G264*'Tabella Carichi Unitari'!$H$16)</f>
        <v/>
      </c>
      <c r="J264" s="415" t="str">
        <f>IF(G264="","",G264*'Tabella Carichi Unitari'!$C$16)</f>
        <v/>
      </c>
      <c r="K264" s="415" t="str">
        <f>IF(G264="","",G264*'Tabella Carichi Unitari'!$K$16)</f>
        <v/>
      </c>
      <c r="L264" s="306"/>
      <c r="M264" s="415" t="str">
        <f>IF(L264="","",L264*'Tabella Carichi Unitari'!$G$9)</f>
        <v/>
      </c>
      <c r="N264" s="415" t="str">
        <f>IF(L264="","",L264*'Tabella Carichi Unitari'!$H$9)</f>
        <v/>
      </c>
      <c r="O264" s="415" t="str">
        <f>IF(L264="","",L264*'Tabella Carichi Unitari'!$C$9)</f>
        <v/>
      </c>
      <c r="P264" s="109" t="str">
        <f>IF(L264="","",L264*'Tabella Carichi Unitari'!$K$9)</f>
        <v/>
      </c>
      <c r="Q264" s="416"/>
      <c r="R264" s="415" t="str">
        <f>IF(Q264="","",Q264*'Tabella Carichi Unitari'!$G$9)</f>
        <v/>
      </c>
      <c r="S264" s="415" t="str">
        <f>IF(Q264="","",Q264*'Tabella Carichi Unitari'!$H$9)</f>
        <v/>
      </c>
      <c r="T264" s="415" t="str">
        <f>IF(Q264="","",Q264*'Tabella Carichi Unitari'!$C$9)</f>
        <v/>
      </c>
      <c r="U264" s="109" t="str">
        <f>IF(Q264="","",Q264*'Tabella Carichi Unitari'!$K$9)</f>
        <v/>
      </c>
      <c r="V264" s="416"/>
      <c r="W264" s="415" t="str">
        <f>IF(V264="","",V264*'Tabella Carichi Unitari'!$G$9)</f>
        <v/>
      </c>
      <c r="X264" s="415" t="str">
        <f>IF(V264="","",V264*'Tabella Carichi Unitari'!$H$9)</f>
        <v/>
      </c>
      <c r="Y264" s="415" t="str">
        <f>IF(V264="","",V264*'Tabella Carichi Unitari'!$C$9)</f>
        <v/>
      </c>
      <c r="Z264" s="109" t="str">
        <f>IF(V264="","",V264*'Tabella Carichi Unitari'!$K$9)</f>
        <v/>
      </c>
      <c r="AB264" s="416"/>
      <c r="AC264" s="416"/>
      <c r="AD264" s="416"/>
      <c r="AE264" s="416"/>
      <c r="AF264" s="416"/>
      <c r="AG264" s="416"/>
      <c r="AH264" s="416"/>
      <c r="AI264" s="416"/>
      <c r="AJ264" s="416"/>
      <c r="AK264" s="416"/>
      <c r="AL264" s="416"/>
      <c r="AM264" s="416"/>
      <c r="AN264" s="416"/>
      <c r="AO264" s="416"/>
      <c r="AP264" s="416"/>
      <c r="AQ264" s="416"/>
      <c r="AR264" s="416"/>
      <c r="AS264" s="416"/>
      <c r="AT264" s="416"/>
      <c r="AU264" s="416"/>
      <c r="AV264" s="416"/>
      <c r="AW264" s="416"/>
    </row>
    <row r="265" spans="1:49" x14ac:dyDescent="0.25">
      <c r="A265" t="s">
        <v>313</v>
      </c>
      <c r="B265" s="306"/>
      <c r="C265" s="168" t="str">
        <f>IF(B265="","",B265*'Tabella Carichi Unitari'!$G$17)</f>
        <v/>
      </c>
      <c r="D265" s="168" t="str">
        <f>IF(B265="","",B265*'Tabella Carichi Unitari'!$H$17)</f>
        <v/>
      </c>
      <c r="E265" s="168" t="str">
        <f>IF(B265="","",B265*'Tabella Carichi Unitari'!$C$17)</f>
        <v/>
      </c>
      <c r="F265" s="110" t="str">
        <f>IF(B265="","",B265*'Tabella Carichi Unitari'!$K$17)</f>
        <v/>
      </c>
      <c r="G265" s="306">
        <v>0.9</v>
      </c>
      <c r="H265" s="168">
        <f>IF(G265="","",G265*'Tabella Carichi Unitari'!$G$17)</f>
        <v>6.7860000000000014</v>
      </c>
      <c r="I265" s="168">
        <f>IF(G265="","",G265*'Tabella Carichi Unitari'!$H$17)</f>
        <v>0</v>
      </c>
      <c r="J265" s="168">
        <f>IF(G265="","",G265*'Tabella Carichi Unitari'!$C$17)</f>
        <v>5.2200000000000006</v>
      </c>
      <c r="K265" s="110">
        <f>IF(G265="","",G265*'Tabella Carichi Unitari'!$K$17)</f>
        <v>0</v>
      </c>
      <c r="L265" s="306">
        <v>0.9</v>
      </c>
      <c r="M265" s="168">
        <f>IF(L265="","",L265*'Tabella Carichi Unitari'!$G$17)</f>
        <v>6.7860000000000014</v>
      </c>
      <c r="N265" s="168">
        <f>IF(L265="","",L265*'Tabella Carichi Unitari'!$H$17)</f>
        <v>0</v>
      </c>
      <c r="O265" s="168">
        <f>IF(L265="","",L265*'Tabella Carichi Unitari'!$C$17)</f>
        <v>5.2200000000000006</v>
      </c>
      <c r="P265" s="110">
        <f>IF(L265="","",L265*'Tabella Carichi Unitari'!$K$17)</f>
        <v>0</v>
      </c>
      <c r="Q265" s="416">
        <v>0.9</v>
      </c>
      <c r="R265" s="168">
        <f>IF(Q265="","",Q265*'Tabella Carichi Unitari'!$G$17)</f>
        <v>6.7860000000000014</v>
      </c>
      <c r="S265" s="168">
        <f>IF(Q265="","",Q265*'Tabella Carichi Unitari'!$H$17)</f>
        <v>0</v>
      </c>
      <c r="T265" s="168">
        <f>IF(Q265="","",Q265*'Tabella Carichi Unitari'!$C$17)</f>
        <v>5.2200000000000006</v>
      </c>
      <c r="U265" s="110">
        <f>IF(Q265="","",Q265*'Tabella Carichi Unitari'!$K$17)</f>
        <v>0</v>
      </c>
      <c r="V265" s="416">
        <v>0.9</v>
      </c>
      <c r="W265" s="168">
        <f>IF(V265="","",V265*'Tabella Carichi Unitari'!$G$17)</f>
        <v>6.7860000000000014</v>
      </c>
      <c r="X265" s="168">
        <f>IF(V265="","",V265*'Tabella Carichi Unitari'!$H$17)</f>
        <v>0</v>
      </c>
      <c r="Y265" s="168">
        <f>IF(V265="","",V265*'Tabella Carichi Unitari'!$C$17)</f>
        <v>5.2200000000000006</v>
      </c>
      <c r="Z265" s="110">
        <f>IF(V265="","",V265*'Tabella Carichi Unitari'!$K$17)</f>
        <v>0</v>
      </c>
      <c r="AB265" s="416"/>
      <c r="AC265" s="416"/>
      <c r="AD265" s="416"/>
      <c r="AE265" s="416"/>
      <c r="AF265" s="416"/>
      <c r="AG265" s="416"/>
      <c r="AH265" s="416"/>
      <c r="AI265" s="416"/>
      <c r="AJ265" s="416"/>
      <c r="AK265" s="416"/>
      <c r="AL265" s="416"/>
      <c r="AM265" s="416"/>
      <c r="AN265" s="416"/>
      <c r="AO265" s="416"/>
      <c r="AP265" s="416"/>
      <c r="AQ265" s="416"/>
      <c r="AR265" s="416"/>
      <c r="AS265" s="416"/>
      <c r="AT265" s="416"/>
      <c r="AU265" s="416"/>
      <c r="AV265" s="416"/>
      <c r="AW265" s="416"/>
    </row>
    <row r="266" spans="1:49" x14ac:dyDescent="0.25">
      <c r="B266" s="306"/>
      <c r="C266" s="415">
        <f>SUM(C260:C265)</f>
        <v>10.432500000000001</v>
      </c>
      <c r="D266" s="415">
        <f>SUM(D260:D265)</f>
        <v>0.97500000000000009</v>
      </c>
      <c r="E266" s="415">
        <f>SUM(E260:E265)</f>
        <v>8.0250000000000004</v>
      </c>
      <c r="F266" s="415">
        <f>SUM(F260:F265)</f>
        <v>0</v>
      </c>
      <c r="G266" s="306"/>
      <c r="H266" s="415">
        <f>SUM(H260:H265)</f>
        <v>18.548400000000001</v>
      </c>
      <c r="I266" s="415">
        <f>SUM(I260:I265)</f>
        <v>7.8000000000000007</v>
      </c>
      <c r="J266" s="415">
        <f>SUM(J260:J265)</f>
        <v>14.267999999999999</v>
      </c>
      <c r="K266" s="415">
        <f>SUM(K260:K265)</f>
        <v>3.12</v>
      </c>
      <c r="L266" s="306"/>
      <c r="M266" s="415">
        <f>SUM(M260:M265)</f>
        <v>19.523400000000002</v>
      </c>
      <c r="N266" s="415">
        <f>SUM(N260:N265)</f>
        <v>7.8000000000000007</v>
      </c>
      <c r="O266" s="415">
        <f>SUM(O260:O265)</f>
        <v>15.017999999999999</v>
      </c>
      <c r="P266" s="109">
        <f>SUM(P260:P265)</f>
        <v>3.12</v>
      </c>
      <c r="Q266" s="416"/>
      <c r="R266" s="415">
        <f>SUM(R260:R265)</f>
        <v>15.083640000000001</v>
      </c>
      <c r="S266" s="415">
        <f t="shared" ref="S266:U266" si="230">SUM(S260:S265)</f>
        <v>1.5</v>
      </c>
      <c r="T266" s="415">
        <f t="shared" si="230"/>
        <v>11.6028</v>
      </c>
      <c r="U266" s="415">
        <f t="shared" si="230"/>
        <v>0.3</v>
      </c>
      <c r="V266" s="416"/>
      <c r="W266" s="415">
        <f>SUM(W260:W265)</f>
        <v>15.083640000000001</v>
      </c>
      <c r="X266" s="415">
        <f t="shared" ref="X266:Z266" si="231">SUM(X260:X265)</f>
        <v>1.5</v>
      </c>
      <c r="Y266" s="415">
        <f t="shared" si="231"/>
        <v>11.6028</v>
      </c>
      <c r="Z266" s="415">
        <f t="shared" si="231"/>
        <v>0.3</v>
      </c>
      <c r="AB266" s="416"/>
      <c r="AC266" s="416"/>
      <c r="AD266" s="416"/>
      <c r="AE266" s="416"/>
      <c r="AF266" s="416"/>
      <c r="AG266" s="416"/>
      <c r="AH266" s="416"/>
      <c r="AI266" s="416"/>
      <c r="AJ266" s="416"/>
      <c r="AK266" s="416"/>
      <c r="AL266" s="416"/>
      <c r="AM266" s="416"/>
      <c r="AN266" s="416"/>
      <c r="AO266" s="416"/>
      <c r="AP266" s="416"/>
      <c r="AQ266" s="416"/>
      <c r="AR266" s="416"/>
      <c r="AS266" s="416"/>
      <c r="AT266" s="416"/>
      <c r="AU266" s="416"/>
      <c r="AV266" s="416"/>
      <c r="AW266" s="416"/>
    </row>
    <row r="267" spans="1:49" x14ac:dyDescent="0.25">
      <c r="B267" s="412"/>
      <c r="C267" s="612">
        <f>C266+D266</f>
        <v>11.407500000000001</v>
      </c>
      <c r="D267" s="612"/>
      <c r="E267" s="612">
        <f>E266+F266</f>
        <v>8.0250000000000004</v>
      </c>
      <c r="F267" s="612"/>
      <c r="G267" s="412"/>
      <c r="H267" s="612">
        <f>H266+I266</f>
        <v>26.348400000000002</v>
      </c>
      <c r="I267" s="612"/>
      <c r="J267" s="612">
        <f>J266+K266</f>
        <v>17.387999999999998</v>
      </c>
      <c r="K267" s="612"/>
      <c r="L267" s="412"/>
      <c r="M267" s="612">
        <f>M266+N266</f>
        <v>27.323400000000003</v>
      </c>
      <c r="N267" s="612"/>
      <c r="O267" s="612">
        <f>O266+P266</f>
        <v>18.137999999999998</v>
      </c>
      <c r="P267" s="612"/>
      <c r="Q267" s="416"/>
      <c r="R267" s="612">
        <f>R266+S266</f>
        <v>16.583640000000003</v>
      </c>
      <c r="S267" s="612"/>
      <c r="T267" s="612">
        <f>T266+U266</f>
        <v>11.902800000000001</v>
      </c>
      <c r="U267" s="612"/>
      <c r="V267" s="416"/>
      <c r="W267" s="612">
        <f>W266+X266</f>
        <v>16.583640000000003</v>
      </c>
      <c r="X267" s="612"/>
      <c r="Y267" s="612">
        <f>Y266+Z266</f>
        <v>11.902800000000001</v>
      </c>
      <c r="Z267" s="612"/>
      <c r="AB267" s="416"/>
      <c r="AC267" s="416"/>
      <c r="AD267" s="416"/>
      <c r="AE267" s="416"/>
      <c r="AF267" s="416"/>
      <c r="AG267" s="416"/>
      <c r="AH267" s="416"/>
      <c r="AI267" s="416"/>
      <c r="AJ267" s="416"/>
      <c r="AK267" s="416"/>
      <c r="AL267" s="416"/>
      <c r="AM267" s="416"/>
      <c r="AN267" s="416"/>
      <c r="AO267" s="416"/>
      <c r="AP267" s="416"/>
      <c r="AQ267" s="416"/>
      <c r="AR267" s="416"/>
      <c r="AS267" s="416"/>
      <c r="AT267" s="416"/>
      <c r="AU267" s="416"/>
      <c r="AV267" s="416"/>
      <c r="AW267" s="416"/>
    </row>
  </sheetData>
  <mergeCells count="379">
    <mergeCell ref="BA175:BB175"/>
    <mergeCell ref="AE175:AF175"/>
    <mergeCell ref="AG175:AH175"/>
    <mergeCell ref="AJ175:AK175"/>
    <mergeCell ref="AL175:AM175"/>
    <mergeCell ref="AO175:AP175"/>
    <mergeCell ref="AQ175:AR175"/>
    <mergeCell ref="AT175:AU175"/>
    <mergeCell ref="AV175:AW175"/>
    <mergeCell ref="AY175:AZ175"/>
    <mergeCell ref="BA149:BB149"/>
    <mergeCell ref="AE162:AF162"/>
    <mergeCell ref="AG162:AH162"/>
    <mergeCell ref="AJ162:AK162"/>
    <mergeCell ref="AL162:AM162"/>
    <mergeCell ref="AO162:AP162"/>
    <mergeCell ref="AQ162:AR162"/>
    <mergeCell ref="AT162:AU162"/>
    <mergeCell ref="AV162:AW162"/>
    <mergeCell ref="AY162:AZ162"/>
    <mergeCell ref="BA162:BB162"/>
    <mergeCell ref="AE149:AF149"/>
    <mergeCell ref="AG149:AH149"/>
    <mergeCell ref="AJ149:AK149"/>
    <mergeCell ref="AL149:AM149"/>
    <mergeCell ref="AO149:AP149"/>
    <mergeCell ref="AQ149:AR149"/>
    <mergeCell ref="AT149:AU149"/>
    <mergeCell ref="AV149:AW149"/>
    <mergeCell ref="AY149:AZ149"/>
    <mergeCell ref="AF2:AI2"/>
    <mergeCell ref="AJ2:AM2"/>
    <mergeCell ref="AN2:AQ2"/>
    <mergeCell ref="AR2:AU2"/>
    <mergeCell ref="AV2:AY2"/>
    <mergeCell ref="R36:S36"/>
    <mergeCell ref="D2:G2"/>
    <mergeCell ref="H2:K2"/>
    <mergeCell ref="L2:O2"/>
    <mergeCell ref="P2:S2"/>
    <mergeCell ref="T2:W2"/>
    <mergeCell ref="T36:U36"/>
    <mergeCell ref="W36:X36"/>
    <mergeCell ref="Y36:Z36"/>
    <mergeCell ref="AQ36:AR36"/>
    <mergeCell ref="AT36:AU36"/>
    <mergeCell ref="AV36:AW36"/>
    <mergeCell ref="AY36:AZ36"/>
    <mergeCell ref="C48:D48"/>
    <mergeCell ref="E48:F48"/>
    <mergeCell ref="H48:I48"/>
    <mergeCell ref="J48:K48"/>
    <mergeCell ref="M48:N48"/>
    <mergeCell ref="O48:P48"/>
    <mergeCell ref="R48:S48"/>
    <mergeCell ref="T48:U48"/>
    <mergeCell ref="W48:X48"/>
    <mergeCell ref="Y48:Z48"/>
    <mergeCell ref="E36:F36"/>
    <mergeCell ref="H36:I36"/>
    <mergeCell ref="J36:K36"/>
    <mergeCell ref="M36:N36"/>
    <mergeCell ref="O36:P36"/>
    <mergeCell ref="O60:P60"/>
    <mergeCell ref="R60:S60"/>
    <mergeCell ref="T60:U60"/>
    <mergeCell ref="W60:X60"/>
    <mergeCell ref="Y60:Z60"/>
    <mergeCell ref="C60:D60"/>
    <mergeCell ref="E60:F60"/>
    <mergeCell ref="H60:I60"/>
    <mergeCell ref="J60:K60"/>
    <mergeCell ref="M60:N60"/>
    <mergeCell ref="O72:P72"/>
    <mergeCell ref="R72:S72"/>
    <mergeCell ref="T72:U72"/>
    <mergeCell ref="W72:X72"/>
    <mergeCell ref="Y72:Z72"/>
    <mergeCell ref="C72:D72"/>
    <mergeCell ref="E72:F72"/>
    <mergeCell ref="H72:I72"/>
    <mergeCell ref="J72:K72"/>
    <mergeCell ref="M72:N72"/>
    <mergeCell ref="O84:P84"/>
    <mergeCell ref="R84:S84"/>
    <mergeCell ref="T84:U84"/>
    <mergeCell ref="W84:X84"/>
    <mergeCell ref="Y84:Z84"/>
    <mergeCell ref="C84:D84"/>
    <mergeCell ref="E84:F84"/>
    <mergeCell ref="H84:I84"/>
    <mergeCell ref="J84:K84"/>
    <mergeCell ref="M84:N84"/>
    <mergeCell ref="O97:P97"/>
    <mergeCell ref="R97:S97"/>
    <mergeCell ref="T97:U97"/>
    <mergeCell ref="W97:X97"/>
    <mergeCell ref="Y97:Z97"/>
    <mergeCell ref="C97:D97"/>
    <mergeCell ref="E97:F97"/>
    <mergeCell ref="H97:I97"/>
    <mergeCell ref="J97:K97"/>
    <mergeCell ref="M97:N97"/>
    <mergeCell ref="O110:P110"/>
    <mergeCell ref="R110:S110"/>
    <mergeCell ref="T110:U110"/>
    <mergeCell ref="W110:X110"/>
    <mergeCell ref="Y110:Z110"/>
    <mergeCell ref="C110:D110"/>
    <mergeCell ref="E110:F110"/>
    <mergeCell ref="H110:I110"/>
    <mergeCell ref="J110:K110"/>
    <mergeCell ref="M110:N110"/>
    <mergeCell ref="O123:P123"/>
    <mergeCell ref="R123:S123"/>
    <mergeCell ref="T123:U123"/>
    <mergeCell ref="W123:X123"/>
    <mergeCell ref="Y123:Z123"/>
    <mergeCell ref="C123:D123"/>
    <mergeCell ref="E123:F123"/>
    <mergeCell ref="H123:I123"/>
    <mergeCell ref="J123:K123"/>
    <mergeCell ref="M123:N123"/>
    <mergeCell ref="O136:P136"/>
    <mergeCell ref="R136:S136"/>
    <mergeCell ref="T136:U136"/>
    <mergeCell ref="W136:X136"/>
    <mergeCell ref="Y136:Z136"/>
    <mergeCell ref="C136:D136"/>
    <mergeCell ref="E136:F136"/>
    <mergeCell ref="H136:I136"/>
    <mergeCell ref="J136:K136"/>
    <mergeCell ref="M136:N136"/>
    <mergeCell ref="O149:P149"/>
    <mergeCell ref="R149:S149"/>
    <mergeCell ref="T149:U149"/>
    <mergeCell ref="W149:X149"/>
    <mergeCell ref="Y149:Z149"/>
    <mergeCell ref="C149:D149"/>
    <mergeCell ref="E149:F149"/>
    <mergeCell ref="H149:I149"/>
    <mergeCell ref="J149:K149"/>
    <mergeCell ref="M149:N149"/>
    <mergeCell ref="O162:P162"/>
    <mergeCell ref="R162:S162"/>
    <mergeCell ref="T162:U162"/>
    <mergeCell ref="W162:X162"/>
    <mergeCell ref="Y162:Z162"/>
    <mergeCell ref="C162:D162"/>
    <mergeCell ref="E162:F162"/>
    <mergeCell ref="H162:I162"/>
    <mergeCell ref="J162:K162"/>
    <mergeCell ref="M162:N162"/>
    <mergeCell ref="O175:P175"/>
    <mergeCell ref="R175:S175"/>
    <mergeCell ref="T175:U175"/>
    <mergeCell ref="W175:X175"/>
    <mergeCell ref="Y175:Z175"/>
    <mergeCell ref="C175:D175"/>
    <mergeCell ref="E175:F175"/>
    <mergeCell ref="H175:I175"/>
    <mergeCell ref="J175:K175"/>
    <mergeCell ref="M175:N175"/>
    <mergeCell ref="O188:P188"/>
    <mergeCell ref="R188:S188"/>
    <mergeCell ref="T188:U188"/>
    <mergeCell ref="W188:X188"/>
    <mergeCell ref="Y188:Z188"/>
    <mergeCell ref="C188:D188"/>
    <mergeCell ref="E188:F188"/>
    <mergeCell ref="H188:I188"/>
    <mergeCell ref="J188:K188"/>
    <mergeCell ref="M188:N188"/>
    <mergeCell ref="O201:P201"/>
    <mergeCell ref="R201:S201"/>
    <mergeCell ref="T201:U201"/>
    <mergeCell ref="W201:X201"/>
    <mergeCell ref="Y201:Z201"/>
    <mergeCell ref="C201:D201"/>
    <mergeCell ref="E201:F201"/>
    <mergeCell ref="H201:I201"/>
    <mergeCell ref="J201:K201"/>
    <mergeCell ref="M201:N201"/>
    <mergeCell ref="O214:P214"/>
    <mergeCell ref="R214:S214"/>
    <mergeCell ref="T214:U214"/>
    <mergeCell ref="W214:X214"/>
    <mergeCell ref="Y214:Z214"/>
    <mergeCell ref="C214:D214"/>
    <mergeCell ref="E214:F214"/>
    <mergeCell ref="H214:I214"/>
    <mergeCell ref="J214:K214"/>
    <mergeCell ref="M214:N214"/>
    <mergeCell ref="O228:P228"/>
    <mergeCell ref="R228:S228"/>
    <mergeCell ref="T228:U228"/>
    <mergeCell ref="W228:X228"/>
    <mergeCell ref="Y228:Z228"/>
    <mergeCell ref="C228:D228"/>
    <mergeCell ref="E228:F228"/>
    <mergeCell ref="H228:I228"/>
    <mergeCell ref="J228:K228"/>
    <mergeCell ref="M228:N228"/>
    <mergeCell ref="O241:P241"/>
    <mergeCell ref="R241:S241"/>
    <mergeCell ref="T241:U241"/>
    <mergeCell ref="W241:X241"/>
    <mergeCell ref="Y241:Z241"/>
    <mergeCell ref="C241:D241"/>
    <mergeCell ref="E241:F241"/>
    <mergeCell ref="H241:I241"/>
    <mergeCell ref="J241:K241"/>
    <mergeCell ref="M241:N241"/>
    <mergeCell ref="O254:P254"/>
    <mergeCell ref="R254:S254"/>
    <mergeCell ref="T254:U254"/>
    <mergeCell ref="W254:X254"/>
    <mergeCell ref="Y254:Z254"/>
    <mergeCell ref="C254:D254"/>
    <mergeCell ref="E254:F254"/>
    <mergeCell ref="H254:I254"/>
    <mergeCell ref="J254:K254"/>
    <mergeCell ref="M254:N254"/>
    <mergeCell ref="O267:P267"/>
    <mergeCell ref="R267:S267"/>
    <mergeCell ref="T267:U267"/>
    <mergeCell ref="W267:X267"/>
    <mergeCell ref="Y267:Z267"/>
    <mergeCell ref="C267:D267"/>
    <mergeCell ref="E267:F267"/>
    <mergeCell ref="H267:I267"/>
    <mergeCell ref="J267:K267"/>
    <mergeCell ref="M267:N267"/>
    <mergeCell ref="BA36:BB36"/>
    <mergeCell ref="AE36:AF36"/>
    <mergeCell ref="AG36:AH36"/>
    <mergeCell ref="AJ36:AK36"/>
    <mergeCell ref="AL36:AM36"/>
    <mergeCell ref="AO36:AP36"/>
    <mergeCell ref="AQ48:AR48"/>
    <mergeCell ref="AT48:AU48"/>
    <mergeCell ref="AV48:AW48"/>
    <mergeCell ref="AY48:AZ48"/>
    <mergeCell ref="BA48:BB48"/>
    <mergeCell ref="AE48:AF48"/>
    <mergeCell ref="AG48:AH48"/>
    <mergeCell ref="AJ48:AK48"/>
    <mergeCell ref="AL48:AM48"/>
    <mergeCell ref="AO48:AP48"/>
    <mergeCell ref="AQ60:AR60"/>
    <mergeCell ref="AT60:AU60"/>
    <mergeCell ref="AV60:AW60"/>
    <mergeCell ref="AY60:AZ60"/>
    <mergeCell ref="BA60:BB60"/>
    <mergeCell ref="AE60:AF60"/>
    <mergeCell ref="AG60:AH60"/>
    <mergeCell ref="AJ60:AK60"/>
    <mergeCell ref="AL60:AM60"/>
    <mergeCell ref="AO60:AP60"/>
    <mergeCell ref="AQ72:AR72"/>
    <mergeCell ref="AT72:AU72"/>
    <mergeCell ref="AV72:AW72"/>
    <mergeCell ref="AY72:AZ72"/>
    <mergeCell ref="BA72:BB72"/>
    <mergeCell ref="AE72:AF72"/>
    <mergeCell ref="AG72:AH72"/>
    <mergeCell ref="AJ72:AK72"/>
    <mergeCell ref="AL72:AM72"/>
    <mergeCell ref="AO72:AP72"/>
    <mergeCell ref="AQ84:AR84"/>
    <mergeCell ref="AT84:AU84"/>
    <mergeCell ref="AV84:AW84"/>
    <mergeCell ref="AY84:AZ84"/>
    <mergeCell ref="BA84:BB84"/>
    <mergeCell ref="AE84:AF84"/>
    <mergeCell ref="AG84:AH84"/>
    <mergeCell ref="AJ84:AK84"/>
    <mergeCell ref="AL84:AM84"/>
    <mergeCell ref="AO84:AP84"/>
    <mergeCell ref="AQ97:AR97"/>
    <mergeCell ref="AT97:AU97"/>
    <mergeCell ref="AV97:AW97"/>
    <mergeCell ref="AY97:AZ97"/>
    <mergeCell ref="BA97:BB97"/>
    <mergeCell ref="AE97:AF97"/>
    <mergeCell ref="AG97:AH97"/>
    <mergeCell ref="AJ97:AK97"/>
    <mergeCell ref="AL97:AM97"/>
    <mergeCell ref="AO97:AP97"/>
    <mergeCell ref="AQ110:AR110"/>
    <mergeCell ref="AT110:AU110"/>
    <mergeCell ref="AV110:AW110"/>
    <mergeCell ref="AY110:AZ110"/>
    <mergeCell ref="BA110:BB110"/>
    <mergeCell ref="AE110:AF110"/>
    <mergeCell ref="AG110:AH110"/>
    <mergeCell ref="AJ110:AK110"/>
    <mergeCell ref="AL110:AM110"/>
    <mergeCell ref="AO110:AP110"/>
    <mergeCell ref="AQ123:AR123"/>
    <mergeCell ref="AT123:AU123"/>
    <mergeCell ref="AV123:AW123"/>
    <mergeCell ref="AY123:AZ123"/>
    <mergeCell ref="BA123:BB123"/>
    <mergeCell ref="AE123:AF123"/>
    <mergeCell ref="AG123:AH123"/>
    <mergeCell ref="AJ123:AK123"/>
    <mergeCell ref="AL123:AM123"/>
    <mergeCell ref="AO123:AP123"/>
    <mergeCell ref="AQ136:AR136"/>
    <mergeCell ref="AT136:AU136"/>
    <mergeCell ref="AV136:AW136"/>
    <mergeCell ref="AY136:AZ136"/>
    <mergeCell ref="BA136:BB136"/>
    <mergeCell ref="AE136:AF136"/>
    <mergeCell ref="AG136:AH136"/>
    <mergeCell ref="AJ136:AK136"/>
    <mergeCell ref="AL136:AM136"/>
    <mergeCell ref="AO136:AP136"/>
    <mergeCell ref="BA189:BB189"/>
    <mergeCell ref="AE201:AF201"/>
    <mergeCell ref="AG201:AH201"/>
    <mergeCell ref="AJ201:AK201"/>
    <mergeCell ref="AL201:AM201"/>
    <mergeCell ref="AO201:AP201"/>
    <mergeCell ref="AQ201:AR201"/>
    <mergeCell ref="AT201:AU201"/>
    <mergeCell ref="AV201:AW201"/>
    <mergeCell ref="AY201:AZ201"/>
    <mergeCell ref="BA201:BB201"/>
    <mergeCell ref="AE189:AF189"/>
    <mergeCell ref="AG189:AH189"/>
    <mergeCell ref="AJ189:AK189"/>
    <mergeCell ref="AL189:AM189"/>
    <mergeCell ref="AO189:AP189"/>
    <mergeCell ref="AQ189:AR189"/>
    <mergeCell ref="AT189:AU189"/>
    <mergeCell ref="AV189:AW189"/>
    <mergeCell ref="AY189:AZ189"/>
    <mergeCell ref="AQ240:AR240"/>
    <mergeCell ref="AT240:AU240"/>
    <mergeCell ref="AV240:AW240"/>
    <mergeCell ref="AY240:AZ240"/>
    <mergeCell ref="BA214:BB214"/>
    <mergeCell ref="AE214:AF214"/>
    <mergeCell ref="AG214:AH214"/>
    <mergeCell ref="AJ214:AK214"/>
    <mergeCell ref="AL214:AM214"/>
    <mergeCell ref="AO214:AP214"/>
    <mergeCell ref="AQ214:AR214"/>
    <mergeCell ref="AT214:AU214"/>
    <mergeCell ref="AV214:AW214"/>
    <mergeCell ref="AY214:AZ214"/>
    <mergeCell ref="AY228:AZ228"/>
    <mergeCell ref="BA228:BB228"/>
    <mergeCell ref="BA252:BB252"/>
    <mergeCell ref="AE228:AF228"/>
    <mergeCell ref="AG228:AH228"/>
    <mergeCell ref="AJ228:AK228"/>
    <mergeCell ref="AL228:AM228"/>
    <mergeCell ref="AO228:AP228"/>
    <mergeCell ref="AQ228:AR228"/>
    <mergeCell ref="AT228:AU228"/>
    <mergeCell ref="AV228:AW228"/>
    <mergeCell ref="BA240:BB240"/>
    <mergeCell ref="AE240:AF240"/>
    <mergeCell ref="AG240:AH240"/>
    <mergeCell ref="AJ240:AK240"/>
    <mergeCell ref="AE252:AF252"/>
    <mergeCell ref="AG252:AH252"/>
    <mergeCell ref="AJ252:AK252"/>
    <mergeCell ref="AL252:AM252"/>
    <mergeCell ref="AO252:AP252"/>
    <mergeCell ref="AQ252:AR252"/>
    <mergeCell ref="AT252:AU252"/>
    <mergeCell ref="AV252:AW252"/>
    <mergeCell ref="AY252:AZ252"/>
    <mergeCell ref="AL240:AM240"/>
    <mergeCell ref="AO240:AP240"/>
  </mergeCells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60"/>
  <sheetViews>
    <sheetView topLeftCell="D42" zoomScaleNormal="100" workbookViewId="0">
      <selection activeCell="F62" sqref="F62"/>
    </sheetView>
  </sheetViews>
  <sheetFormatPr defaultRowHeight="15" x14ac:dyDescent="0.25"/>
  <cols>
    <col min="1" max="1" width="9.140625" style="307"/>
    <col min="2" max="2" width="33.7109375" style="307" customWidth="1"/>
    <col min="3" max="3" width="13.5703125" style="307" customWidth="1"/>
    <col min="4" max="4" width="17.7109375" style="307" customWidth="1"/>
    <col min="5" max="5" width="15.7109375" style="307" customWidth="1"/>
    <col min="6" max="6" width="21.5703125" style="307" customWidth="1"/>
    <col min="7" max="7" width="16.42578125" style="307" customWidth="1"/>
    <col min="8" max="8" width="15.85546875" style="307" customWidth="1"/>
    <col min="9" max="9" width="22.42578125" style="307" customWidth="1"/>
    <col min="10" max="10" width="17.7109375" style="307" customWidth="1"/>
    <col min="11" max="11" width="14.85546875" style="307" customWidth="1"/>
    <col min="12" max="12" width="19.7109375" style="307" customWidth="1"/>
    <col min="13" max="13" width="15.42578125" style="307" customWidth="1"/>
    <col min="14" max="14" width="14.28515625" style="307" customWidth="1"/>
    <col min="15" max="16384" width="9.140625" style="307"/>
  </cols>
  <sheetData>
    <row r="1" spans="2:12" ht="19.5" customHeight="1" x14ac:dyDescent="0.25"/>
    <row r="2" spans="2:12" ht="23.25" customHeight="1" x14ac:dyDescent="0.25">
      <c r="B2" s="159"/>
      <c r="C2" s="379" t="str">
        <f>'Tabella Carichi Unitari'!C4</f>
        <v>g1k [kN/m2]</v>
      </c>
      <c r="D2" s="379" t="str">
        <f>'Tabella Carichi Unitari'!D4</f>
        <v>g2k [kN/m2]</v>
      </c>
      <c r="E2" s="379" t="str">
        <f>'Tabella Carichi Unitari'!E4</f>
        <v>qk [kN/m2]</v>
      </c>
      <c r="F2" s="379" t="str">
        <f>'Tabella Carichi Unitari'!F4</f>
        <v>Y</v>
      </c>
      <c r="G2" s="440" t="str">
        <f>'Tabella Carichi Unitari'!G4</f>
        <v>g1d</v>
      </c>
      <c r="H2" s="379" t="str">
        <f>'Tabella Carichi Unitari'!H4</f>
        <v xml:space="preserve">g2d + qd </v>
      </c>
      <c r="I2" s="442" t="str">
        <f>'Tabella Carichi Unitari'!I4</f>
        <v>TOTALE senza sisma</v>
      </c>
      <c r="J2" s="379" t="str">
        <f>'Tabella Carichi Unitari'!J4</f>
        <v>g1k [kN/m2]</v>
      </c>
      <c r="K2" s="441" t="str">
        <f>'Tabella Carichi Unitari'!K4</f>
        <v xml:space="preserve">g2k + y2 qk </v>
      </c>
      <c r="L2" s="443" t="str">
        <f>'Tabella Carichi Unitari'!L4</f>
        <v>TOTALE con sisma</v>
      </c>
    </row>
    <row r="3" spans="2:12" x14ac:dyDescent="0.25">
      <c r="B3" s="438" t="str">
        <f>'Tabella Carichi Unitari'!B5</f>
        <v>Solaio piano tipo (escl. Tramezzi)</v>
      </c>
      <c r="C3" s="108">
        <f>'Tabella Carichi Unitari'!C5</f>
        <v>3.8555999999999995</v>
      </c>
      <c r="D3" s="125">
        <f>'Tabella Carichi Unitari'!D5</f>
        <v>0</v>
      </c>
      <c r="E3" s="436">
        <f>'Tabella Carichi Unitari'!E5</f>
        <v>2</v>
      </c>
      <c r="F3" s="125">
        <f>'Tabella Carichi Unitari'!F5</f>
        <v>0.3</v>
      </c>
      <c r="G3" s="249">
        <f>'Tabella Carichi Unitari'!G5</f>
        <v>5.0122799999999996</v>
      </c>
      <c r="H3" s="125">
        <f>'Tabella Carichi Unitari'!H5</f>
        <v>3</v>
      </c>
      <c r="I3" s="249">
        <f>'Tabella Carichi Unitari'!I5</f>
        <v>8.0122800000000005</v>
      </c>
      <c r="J3" s="99">
        <f>'Tabella Carichi Unitari'!J5</f>
        <v>3.8555999999999995</v>
      </c>
      <c r="K3" s="436">
        <f>'Tabella Carichi Unitari'!K5</f>
        <v>0.6</v>
      </c>
      <c r="L3" s="99">
        <f>'Tabella Carichi Unitari'!L5</f>
        <v>4.4555999999999996</v>
      </c>
    </row>
    <row r="4" spans="2:12" x14ac:dyDescent="0.25">
      <c r="B4" s="438" t="str">
        <f>'Tabella Carichi Unitari'!B6</f>
        <v>Tramezzi</v>
      </c>
      <c r="C4" s="435">
        <f>'Tabella Carichi Unitari'!C6</f>
        <v>0</v>
      </c>
      <c r="D4" s="126">
        <f>'Tabella Carichi Unitari'!D6</f>
        <v>1.2</v>
      </c>
      <c r="E4" s="434">
        <f>'Tabella Carichi Unitari'!E6</f>
        <v>0</v>
      </c>
      <c r="F4" s="126">
        <f>'Tabella Carichi Unitari'!F6</f>
        <v>0.3</v>
      </c>
      <c r="G4" s="107">
        <f>'Tabella Carichi Unitari'!G6</f>
        <v>0</v>
      </c>
      <c r="H4" s="126">
        <f>'Tabella Carichi Unitari'!H6</f>
        <v>1.7999999999999998</v>
      </c>
      <c r="I4" s="107">
        <f>'Tabella Carichi Unitari'!I6</f>
        <v>1.7999999999999998</v>
      </c>
      <c r="J4" s="100">
        <f>'Tabella Carichi Unitari'!J6</f>
        <v>0</v>
      </c>
      <c r="K4" s="434">
        <f>'Tabella Carichi Unitari'!K6</f>
        <v>1.2</v>
      </c>
      <c r="L4" s="100">
        <f>'Tabella Carichi Unitari'!L6</f>
        <v>1.2</v>
      </c>
    </row>
    <row r="5" spans="2:12" x14ac:dyDescent="0.25">
      <c r="B5" s="438" t="str">
        <f>'Tabella Carichi Unitari'!B7</f>
        <v>Solaio tipo totale</v>
      </c>
      <c r="C5" s="109">
        <f>'Tabella Carichi Unitari'!C7+'Tabella Carichi Unitari'!D7</f>
        <v>5.0555999999999992</v>
      </c>
      <c r="D5" s="126">
        <f>'Tabella Carichi Unitari'!D7</f>
        <v>1.2</v>
      </c>
      <c r="E5" s="434">
        <f>'Tabella Carichi Unitari'!E7</f>
        <v>2</v>
      </c>
      <c r="F5" s="126">
        <f>'Tabella Carichi Unitari'!F7</f>
        <v>0.3</v>
      </c>
      <c r="G5" s="107">
        <f>'Tabella Carichi Unitari'!G7</f>
        <v>5.0122799999999996</v>
      </c>
      <c r="H5" s="126">
        <f>'Tabella Carichi Unitari'!H7</f>
        <v>4.8</v>
      </c>
      <c r="I5" s="107">
        <f>'Tabella Carichi Unitari'!I7</f>
        <v>9.8122799999999994</v>
      </c>
      <c r="J5" s="100">
        <f>'Tabella Carichi Unitari'!J7</f>
        <v>3.8555999999999995</v>
      </c>
      <c r="K5" s="434">
        <f>'Tabella Carichi Unitari'!K7</f>
        <v>1.7999999999999998</v>
      </c>
      <c r="L5" s="100">
        <f>'Tabella Carichi Unitari'!L7</f>
        <v>5.6555999999999997</v>
      </c>
    </row>
    <row r="6" spans="2:12" x14ac:dyDescent="0.25">
      <c r="B6" s="438" t="str">
        <f>'Tabella Carichi Unitari'!B8</f>
        <v>Solaio copertura</v>
      </c>
      <c r="C6" s="435">
        <f>'Tabella Carichi Unitari'!C8</f>
        <v>4</v>
      </c>
      <c r="D6" s="126">
        <f>'Tabella Carichi Unitari'!D8</f>
        <v>0</v>
      </c>
      <c r="E6" s="434">
        <f>'Tabella Carichi Unitari'!E8</f>
        <v>2</v>
      </c>
      <c r="F6" s="126">
        <f>'Tabella Carichi Unitari'!F8</f>
        <v>0.3</v>
      </c>
      <c r="G6" s="107">
        <f>'Tabella Carichi Unitari'!G8</f>
        <v>5.2</v>
      </c>
      <c r="H6" s="126">
        <f>'Tabella Carichi Unitari'!H8</f>
        <v>3</v>
      </c>
      <c r="I6" s="107">
        <f>'Tabella Carichi Unitari'!I8</f>
        <v>8.1999999999999993</v>
      </c>
      <c r="J6" s="100">
        <f>'Tabella Carichi Unitari'!J8</f>
        <v>4</v>
      </c>
      <c r="K6" s="434">
        <f>'Tabella Carichi Unitari'!K8</f>
        <v>0.6</v>
      </c>
      <c r="L6" s="100">
        <f>'Tabella Carichi Unitari'!L8</f>
        <v>4.5999999999999996</v>
      </c>
    </row>
    <row r="7" spans="2:12" x14ac:dyDescent="0.25">
      <c r="B7" s="438" t="str">
        <f>'Tabella Carichi Unitari'!B9</f>
        <v>Solaio torrino scala</v>
      </c>
      <c r="C7" s="109">
        <f>'Tabella Carichi Unitari'!C9</f>
        <v>3.3155999999999994</v>
      </c>
      <c r="D7" s="126">
        <f>'Tabella Carichi Unitari'!D9</f>
        <v>0</v>
      </c>
      <c r="E7" s="434">
        <f>'Tabella Carichi Unitari'!E9</f>
        <v>0.5</v>
      </c>
      <c r="F7" s="126">
        <f>'Tabella Carichi Unitari'!F9</f>
        <v>0</v>
      </c>
      <c r="G7" s="107">
        <f>'Tabella Carichi Unitari'!G9</f>
        <v>4.3102799999999997</v>
      </c>
      <c r="H7" s="126">
        <f>'Tabella Carichi Unitari'!H9</f>
        <v>0.75</v>
      </c>
      <c r="I7" s="107">
        <f>'Tabella Carichi Unitari'!I9</f>
        <v>5.0602799999999997</v>
      </c>
      <c r="J7" s="100">
        <f>'Tabella Carichi Unitari'!J9</f>
        <v>3.3155999999999994</v>
      </c>
      <c r="K7" s="434">
        <f>'Tabella Carichi Unitari'!K9</f>
        <v>0</v>
      </c>
      <c r="L7" s="100">
        <f>'Tabella Carichi Unitari'!L9</f>
        <v>3.3155999999999994</v>
      </c>
    </row>
    <row r="8" spans="2:12" x14ac:dyDescent="0.25">
      <c r="B8" s="438" t="str">
        <f>'Tabella Carichi Unitari'!B10</f>
        <v>Sbalzo piano tipo</v>
      </c>
      <c r="C8" s="435">
        <f>'Tabella Carichi Unitari'!C10</f>
        <v>4.1099999999999994</v>
      </c>
      <c r="D8" s="126">
        <f>'Tabella Carichi Unitari'!D10</f>
        <v>0</v>
      </c>
      <c r="E8" s="434">
        <f>'Tabella Carichi Unitari'!E10</f>
        <v>4</v>
      </c>
      <c r="F8" s="126">
        <f>'Tabella Carichi Unitari'!F10</f>
        <v>0.6</v>
      </c>
      <c r="G8" s="107">
        <f>'Tabella Carichi Unitari'!G10</f>
        <v>5.3429999999999991</v>
      </c>
      <c r="H8" s="126">
        <f>'Tabella Carichi Unitari'!H10</f>
        <v>6</v>
      </c>
      <c r="I8" s="107">
        <f>'Tabella Carichi Unitari'!I10</f>
        <v>11.343</v>
      </c>
      <c r="J8" s="100">
        <f>'Tabella Carichi Unitari'!J10</f>
        <v>4.1099999999999994</v>
      </c>
      <c r="K8" s="434">
        <f>'Tabella Carichi Unitari'!K10</f>
        <v>2.4</v>
      </c>
      <c r="L8" s="100">
        <f>'Tabella Carichi Unitari'!L10</f>
        <v>6.51</v>
      </c>
    </row>
    <row r="9" spans="2:12" x14ac:dyDescent="0.25">
      <c r="B9" s="438" t="str">
        <f>'Tabella Carichi Unitari'!B11</f>
        <v>Sbalzo copertura, cornicione</v>
      </c>
      <c r="C9" s="435">
        <f>'Tabella Carichi Unitari'!C11</f>
        <v>3.9</v>
      </c>
      <c r="D9" s="126">
        <f>'Tabella Carichi Unitari'!D11</f>
        <v>0</v>
      </c>
      <c r="E9" s="434">
        <f>'Tabella Carichi Unitari'!E11</f>
        <v>0.5</v>
      </c>
      <c r="F9" s="126">
        <f>'Tabella Carichi Unitari'!F11</f>
        <v>0</v>
      </c>
      <c r="G9" s="107">
        <f>'Tabella Carichi Unitari'!G11</f>
        <v>5.07</v>
      </c>
      <c r="H9" s="126">
        <f>'Tabella Carichi Unitari'!H11</f>
        <v>0.75</v>
      </c>
      <c r="I9" s="107">
        <f>'Tabella Carichi Unitari'!I11</f>
        <v>5.82</v>
      </c>
      <c r="J9" s="100">
        <f>'Tabella Carichi Unitari'!J11</f>
        <v>3.9</v>
      </c>
      <c r="K9" s="434">
        <f>'Tabella Carichi Unitari'!K11</f>
        <v>0</v>
      </c>
      <c r="L9" s="100">
        <f>'Tabella Carichi Unitari'!L11</f>
        <v>3.9</v>
      </c>
    </row>
    <row r="10" spans="2:12" x14ac:dyDescent="0.25">
      <c r="B10" s="438" t="str">
        <f>'Tabella Carichi Unitari'!B12</f>
        <v>Scala</v>
      </c>
      <c r="C10" s="435">
        <f>'Tabella Carichi Unitari'!C12</f>
        <v>4.8</v>
      </c>
      <c r="D10" s="126">
        <f>'Tabella Carichi Unitari'!D12</f>
        <v>0</v>
      </c>
      <c r="E10" s="434">
        <f>'Tabella Carichi Unitari'!E12</f>
        <v>4</v>
      </c>
      <c r="F10" s="126">
        <f>'Tabella Carichi Unitari'!F12</f>
        <v>0.6</v>
      </c>
      <c r="G10" s="107">
        <f>'Tabella Carichi Unitari'!G12</f>
        <v>6.24</v>
      </c>
      <c r="H10" s="126">
        <f>'Tabella Carichi Unitari'!H12</f>
        <v>6</v>
      </c>
      <c r="I10" s="107">
        <f>'Tabella Carichi Unitari'!I12</f>
        <v>12.24</v>
      </c>
      <c r="J10" s="100">
        <f>'Tabella Carichi Unitari'!J12</f>
        <v>4.8</v>
      </c>
      <c r="K10" s="434">
        <f>'Tabella Carichi Unitari'!K12</f>
        <v>2.4</v>
      </c>
      <c r="L10" s="100">
        <f>'Tabella Carichi Unitari'!L12</f>
        <v>7.1999999999999993</v>
      </c>
    </row>
    <row r="11" spans="2:12" x14ac:dyDescent="0.25">
      <c r="B11" s="438" t="str">
        <f>'Tabella Carichi Unitari'!B13</f>
        <v>Travi 30 X 70</v>
      </c>
      <c r="C11" s="109">
        <f>'Tabella Carichi Unitari'!C13</f>
        <v>4.4550000000000001</v>
      </c>
      <c r="D11" s="126">
        <f>'Tabella Carichi Unitari'!D13</f>
        <v>0</v>
      </c>
      <c r="E11" s="434">
        <f>'Tabella Carichi Unitari'!E13</f>
        <v>0</v>
      </c>
      <c r="F11" s="126">
        <f>'Tabella Carichi Unitari'!F13</f>
        <v>0</v>
      </c>
      <c r="G11" s="107">
        <f>'Tabella Carichi Unitari'!G13</f>
        <v>5.7915000000000001</v>
      </c>
      <c r="H11" s="126">
        <f>'Tabella Carichi Unitari'!H13</f>
        <v>0</v>
      </c>
      <c r="I11" s="107">
        <f>'Tabella Carichi Unitari'!I13</f>
        <v>5.7915000000000001</v>
      </c>
      <c r="J11" s="100">
        <f>'Tabella Carichi Unitari'!J13</f>
        <v>4.4550000000000001</v>
      </c>
      <c r="K11" s="434">
        <f>'Tabella Carichi Unitari'!K13</f>
        <v>0</v>
      </c>
      <c r="L11" s="100">
        <f>'Tabella Carichi Unitari'!L13</f>
        <v>4.4550000000000001</v>
      </c>
    </row>
    <row r="12" spans="2:12" x14ac:dyDescent="0.25">
      <c r="B12" s="438" t="str">
        <f>'Tabella Carichi Unitari'!B14</f>
        <v>Travi 30 X 60</v>
      </c>
      <c r="C12" s="109">
        <f>'Tabella Carichi Unitari'!C14</f>
        <v>3.7050000000000001</v>
      </c>
      <c r="D12" s="126">
        <f>'Tabella Carichi Unitari'!D14</f>
        <v>0</v>
      </c>
      <c r="E12" s="434">
        <f>'Tabella Carichi Unitari'!E14</f>
        <v>0</v>
      </c>
      <c r="F12" s="126">
        <f>'Tabella Carichi Unitari'!F14</f>
        <v>0</v>
      </c>
      <c r="G12" s="107">
        <f>'Tabella Carichi Unitari'!G14</f>
        <v>4.8165000000000004</v>
      </c>
      <c r="H12" s="126">
        <f>'Tabella Carichi Unitari'!H14</f>
        <v>0</v>
      </c>
      <c r="I12" s="107">
        <f>'Tabella Carichi Unitari'!I14</f>
        <v>4.8165000000000004</v>
      </c>
      <c r="J12" s="100">
        <f>'Tabella Carichi Unitari'!J14</f>
        <v>3.7050000000000001</v>
      </c>
      <c r="K12" s="434">
        <f>'Tabella Carichi Unitari'!K14</f>
        <v>0</v>
      </c>
      <c r="L12" s="100">
        <f>'Tabella Carichi Unitari'!L14</f>
        <v>3.7050000000000001</v>
      </c>
    </row>
    <row r="13" spans="2:12" x14ac:dyDescent="0.25">
      <c r="B13" s="438" t="str">
        <f>'Tabella Carichi Unitari'!B15</f>
        <v>Travi 30 X 50</v>
      </c>
      <c r="C13" s="109">
        <f>'Tabella Carichi Unitari'!C15</f>
        <v>2.9550000000000001</v>
      </c>
      <c r="D13" s="126">
        <f>'Tabella Carichi Unitari'!D15</f>
        <v>0</v>
      </c>
      <c r="E13" s="434">
        <f>'Tabella Carichi Unitari'!E15</f>
        <v>0</v>
      </c>
      <c r="F13" s="126">
        <f>'Tabella Carichi Unitari'!F15</f>
        <v>0</v>
      </c>
      <c r="G13" s="107">
        <f>'Tabella Carichi Unitari'!G15</f>
        <v>3.8415000000000004</v>
      </c>
      <c r="H13" s="126">
        <f>'Tabella Carichi Unitari'!H15</f>
        <v>0</v>
      </c>
      <c r="I13" s="107">
        <f>'Tabella Carichi Unitari'!I15</f>
        <v>3.8415000000000004</v>
      </c>
      <c r="J13" s="100">
        <f>'Tabella Carichi Unitari'!J15</f>
        <v>2.9550000000000001</v>
      </c>
      <c r="K13" s="434">
        <f>'Tabella Carichi Unitari'!K15</f>
        <v>0</v>
      </c>
      <c r="L13" s="100">
        <f>'Tabella Carichi Unitari'!L15</f>
        <v>2.9550000000000001</v>
      </c>
    </row>
    <row r="14" spans="2:12" x14ac:dyDescent="0.25">
      <c r="B14" s="438" t="str">
        <f>'Tabella Carichi Unitari'!B16</f>
        <v>Travi 90 X 24</v>
      </c>
      <c r="C14" s="109">
        <f>'Tabella Carichi Unitari'!C16</f>
        <v>4.7640000000000002</v>
      </c>
      <c r="D14" s="126">
        <f>'Tabella Carichi Unitari'!D16</f>
        <v>0</v>
      </c>
      <c r="E14" s="434">
        <f>'Tabella Carichi Unitari'!E16</f>
        <v>0</v>
      </c>
      <c r="F14" s="126">
        <f>'Tabella Carichi Unitari'!F16</f>
        <v>0</v>
      </c>
      <c r="G14" s="107">
        <f>'Tabella Carichi Unitari'!G16</f>
        <v>6.1932000000000009</v>
      </c>
      <c r="H14" s="126">
        <f>'Tabella Carichi Unitari'!H16</f>
        <v>0</v>
      </c>
      <c r="I14" s="107">
        <f>'Tabella Carichi Unitari'!I16</f>
        <v>6.1932000000000009</v>
      </c>
      <c r="J14" s="100">
        <f>'Tabella Carichi Unitari'!J16</f>
        <v>4.7640000000000002</v>
      </c>
      <c r="K14" s="434">
        <f>'Tabella Carichi Unitari'!K16</f>
        <v>0</v>
      </c>
      <c r="L14" s="100">
        <f>'Tabella Carichi Unitari'!L16</f>
        <v>4.7640000000000002</v>
      </c>
    </row>
    <row r="15" spans="2:12" x14ac:dyDescent="0.25">
      <c r="B15" s="438" t="str">
        <f>'Tabella Carichi Unitari'!B17</f>
        <v>Tamponature</v>
      </c>
      <c r="C15" s="435">
        <f>'Tabella Carichi Unitari'!C17</f>
        <v>5.8000000000000007</v>
      </c>
      <c r="D15" s="126">
        <f>'Tabella Carichi Unitari'!D17</f>
        <v>0</v>
      </c>
      <c r="E15" s="434">
        <f>'Tabella Carichi Unitari'!E17</f>
        <v>0</v>
      </c>
      <c r="F15" s="126">
        <f>'Tabella Carichi Unitari'!F17</f>
        <v>0</v>
      </c>
      <c r="G15" s="107">
        <f>'Tabella Carichi Unitari'!G17</f>
        <v>7.5400000000000009</v>
      </c>
      <c r="H15" s="126">
        <f>'Tabella Carichi Unitari'!H17</f>
        <v>0</v>
      </c>
      <c r="I15" s="107">
        <f>'Tabella Carichi Unitari'!I17</f>
        <v>7.5400000000000009</v>
      </c>
      <c r="J15" s="100">
        <f>'Tabella Carichi Unitari'!J17</f>
        <v>5.8000000000000007</v>
      </c>
      <c r="K15" s="434">
        <f>'Tabella Carichi Unitari'!K17</f>
        <v>0</v>
      </c>
      <c r="L15" s="100">
        <f>'Tabella Carichi Unitari'!L17</f>
        <v>5.8000000000000007</v>
      </c>
    </row>
    <row r="16" spans="2:12" x14ac:dyDescent="0.25">
      <c r="B16" s="438" t="str">
        <f>'Tabella Carichi Unitari'!B18</f>
        <v>Tramezzi</v>
      </c>
      <c r="C16" s="435">
        <f>'Tabella Carichi Unitari'!C18</f>
        <v>3</v>
      </c>
      <c r="D16" s="126">
        <f>'Tabella Carichi Unitari'!D18</f>
        <v>0</v>
      </c>
      <c r="E16" s="434">
        <f>'Tabella Carichi Unitari'!E18</f>
        <v>0</v>
      </c>
      <c r="F16" s="126">
        <f>'Tabella Carichi Unitari'!F18</f>
        <v>0</v>
      </c>
      <c r="G16" s="107">
        <f>'Tabella Carichi Unitari'!G18</f>
        <v>3.9000000000000004</v>
      </c>
      <c r="H16" s="126">
        <f>'Tabella Carichi Unitari'!H18</f>
        <v>0</v>
      </c>
      <c r="I16" s="107">
        <f>'Tabella Carichi Unitari'!I18</f>
        <v>3.9000000000000004</v>
      </c>
      <c r="J16" s="100">
        <f>'Tabella Carichi Unitari'!J18</f>
        <v>3</v>
      </c>
      <c r="K16" s="434">
        <f>'Tabella Carichi Unitari'!K18</f>
        <v>0</v>
      </c>
      <c r="L16" s="100">
        <f>'Tabella Carichi Unitari'!L18</f>
        <v>3</v>
      </c>
    </row>
    <row r="17" spans="2:13" s="446" customFormat="1" x14ac:dyDescent="0.25">
      <c r="B17" s="438" t="s">
        <v>457</v>
      </c>
      <c r="C17" s="109">
        <f>'Tabella Carichi Unitari'!C19</f>
        <v>15.225000000000001</v>
      </c>
      <c r="D17" s="126">
        <f>'Tabella Carichi Unitari'!D19</f>
        <v>0</v>
      </c>
      <c r="E17" s="434">
        <f>'Tabella Carichi Unitari'!E19</f>
        <v>0</v>
      </c>
      <c r="F17" s="126">
        <f>'Tabella Carichi Unitari'!F19</f>
        <v>0</v>
      </c>
      <c r="G17" s="107">
        <f>'Tabella Carichi Unitari'!G19</f>
        <v>19.792500000000004</v>
      </c>
      <c r="H17" s="126">
        <f>'Tabella Carichi Unitari'!H19</f>
        <v>0</v>
      </c>
      <c r="I17" s="107">
        <f>'Tabella Carichi Unitari'!I19</f>
        <v>19.792500000000004</v>
      </c>
      <c r="J17" s="100">
        <f>'Tabella Carichi Unitari'!J19</f>
        <v>15.225000000000001</v>
      </c>
      <c r="K17" s="434">
        <f>'Tabella Carichi Unitari'!K19</f>
        <v>0</v>
      </c>
      <c r="L17" s="100">
        <f>'Tabella Carichi Unitari'!L19</f>
        <v>15.225000000000001</v>
      </c>
    </row>
    <row r="18" spans="2:13" s="446" customFormat="1" x14ac:dyDescent="0.25">
      <c r="B18" s="438" t="s">
        <v>458</v>
      </c>
      <c r="C18" s="109">
        <f>'Analisi dei Carichi'!AC13</f>
        <v>13.125</v>
      </c>
      <c r="D18" s="126">
        <v>0</v>
      </c>
      <c r="E18" s="444">
        <v>0</v>
      </c>
      <c r="F18" s="126">
        <v>0</v>
      </c>
      <c r="G18" s="107">
        <f>C18*1.3</f>
        <v>17.0625</v>
      </c>
      <c r="H18" s="126">
        <v>0</v>
      </c>
      <c r="I18" s="107">
        <f>G18+H18</f>
        <v>17.0625</v>
      </c>
      <c r="J18" s="100">
        <f>C18</f>
        <v>13.125</v>
      </c>
      <c r="K18" s="444">
        <v>0</v>
      </c>
      <c r="L18" s="100">
        <f>J18+K18</f>
        <v>13.125</v>
      </c>
    </row>
    <row r="19" spans="2:13" s="446" customFormat="1" x14ac:dyDescent="0.25">
      <c r="B19" s="438" t="s">
        <v>459</v>
      </c>
      <c r="C19" s="109">
        <f>'Analisi dei Carichi'!AG13</f>
        <v>13.65</v>
      </c>
      <c r="D19" s="126">
        <v>0</v>
      </c>
      <c r="E19" s="444">
        <v>0</v>
      </c>
      <c r="F19" s="126">
        <v>0</v>
      </c>
      <c r="G19" s="107">
        <f>C19*1.3</f>
        <v>17.745000000000001</v>
      </c>
      <c r="H19" s="126">
        <v>0</v>
      </c>
      <c r="I19" s="107">
        <f>G19+H19</f>
        <v>17.745000000000001</v>
      </c>
      <c r="J19" s="100">
        <f>C19</f>
        <v>13.65</v>
      </c>
      <c r="K19" s="444">
        <v>0</v>
      </c>
      <c r="L19" s="100">
        <f>J19+K19</f>
        <v>13.65</v>
      </c>
    </row>
    <row r="20" spans="2:13" x14ac:dyDescent="0.25">
      <c r="B20" s="438" t="s">
        <v>460</v>
      </c>
      <c r="C20" s="445">
        <f>'Analisi dei Carichi'!Y17</f>
        <v>10.125</v>
      </c>
      <c r="D20" s="126">
        <v>0</v>
      </c>
      <c r="E20" s="444">
        <v>0</v>
      </c>
      <c r="F20" s="126">
        <v>0</v>
      </c>
      <c r="G20" s="107">
        <f>C20*1.3</f>
        <v>13.1625</v>
      </c>
      <c r="H20" s="126">
        <v>0</v>
      </c>
      <c r="I20" s="107">
        <f>G20+H20</f>
        <v>13.1625</v>
      </c>
      <c r="J20" s="100">
        <f>C20</f>
        <v>10.125</v>
      </c>
      <c r="K20" s="444">
        <v>0</v>
      </c>
      <c r="L20" s="100">
        <f>J20+K20</f>
        <v>10.125</v>
      </c>
      <c r="M20" s="306"/>
    </row>
    <row r="21" spans="2:13" x14ac:dyDescent="0.25">
      <c r="B21" s="438" t="str">
        <f>'Tabella Carichi Unitari'!B20</f>
        <v>Pilastri 30 X 50 Torrino Scala</v>
      </c>
      <c r="C21" s="110">
        <f>'Tabella Carichi Unitari'!C20</f>
        <v>10.125</v>
      </c>
      <c r="D21" s="114">
        <f>'Tabella Carichi Unitari'!D20</f>
        <v>0</v>
      </c>
      <c r="E21" s="433">
        <f>'Tabella Carichi Unitari'!E20</f>
        <v>0</v>
      </c>
      <c r="F21" s="114">
        <f>'Tabella Carichi Unitari'!F20</f>
        <v>0</v>
      </c>
      <c r="G21" s="168">
        <f>'Tabella Carichi Unitari'!G20</f>
        <v>13.1625</v>
      </c>
      <c r="H21" s="114">
        <f>'Tabella Carichi Unitari'!H20</f>
        <v>0</v>
      </c>
      <c r="I21" s="168">
        <f>'Tabella Carichi Unitari'!I20</f>
        <v>13.1625</v>
      </c>
      <c r="J21" s="101">
        <f>'Tabella Carichi Unitari'!J20</f>
        <v>10.125</v>
      </c>
      <c r="K21" s="433">
        <f>'Tabella Carichi Unitari'!K20</f>
        <v>0</v>
      </c>
      <c r="L21" s="101">
        <f>'Tabella Carichi Unitari'!L20</f>
        <v>10.125</v>
      </c>
    </row>
    <row r="23" spans="2:13" s="437" customFormat="1" x14ac:dyDescent="0.25">
      <c r="B23" s="340"/>
      <c r="C23" s="618" t="s">
        <v>347</v>
      </c>
      <c r="D23" s="618"/>
      <c r="E23" s="618" t="s">
        <v>456</v>
      </c>
      <c r="F23" s="618"/>
      <c r="G23" s="604" t="s">
        <v>455</v>
      </c>
      <c r="H23" s="606"/>
      <c r="I23" s="604" t="s">
        <v>453</v>
      </c>
      <c r="J23" s="606"/>
      <c r="K23" s="604" t="s">
        <v>454</v>
      </c>
      <c r="L23" s="606"/>
    </row>
    <row r="24" spans="2:13" x14ac:dyDescent="0.25">
      <c r="B24" s="340" t="s">
        <v>342</v>
      </c>
      <c r="C24" s="341" t="s">
        <v>344</v>
      </c>
      <c r="D24" s="341" t="s">
        <v>343</v>
      </c>
      <c r="E24" s="341" t="s">
        <v>344</v>
      </c>
      <c r="F24" s="341" t="s">
        <v>343</v>
      </c>
      <c r="G24" s="438" t="s">
        <v>344</v>
      </c>
      <c r="H24" s="438" t="s">
        <v>343</v>
      </c>
      <c r="I24" s="340" t="s">
        <v>344</v>
      </c>
      <c r="J24" s="340" t="s">
        <v>343</v>
      </c>
      <c r="K24" s="341" t="s">
        <v>344</v>
      </c>
      <c r="L24" s="341" t="s">
        <v>343</v>
      </c>
    </row>
    <row r="25" spans="2:13" x14ac:dyDescent="0.25">
      <c r="B25" s="340" t="s">
        <v>345</v>
      </c>
      <c r="C25" s="344"/>
      <c r="D25" s="116"/>
      <c r="E25" s="341"/>
      <c r="G25" s="348">
        <f>E26</f>
        <v>308.5</v>
      </c>
      <c r="H25" s="349">
        <f>G25*L3</f>
        <v>1374.5525999999998</v>
      </c>
      <c r="I25" s="348">
        <f>E26</f>
        <v>308.5</v>
      </c>
      <c r="J25" s="349">
        <f>I25*L3</f>
        <v>1374.5525999999998</v>
      </c>
      <c r="K25" s="348">
        <f>E26</f>
        <v>308.5</v>
      </c>
      <c r="L25" s="349">
        <f>K25*L3</f>
        <v>1374.5525999999998</v>
      </c>
    </row>
    <row r="26" spans="2:13" x14ac:dyDescent="0.25">
      <c r="B26" s="340" t="s">
        <v>265</v>
      </c>
      <c r="C26" s="116"/>
      <c r="D26" s="116"/>
      <c r="E26" s="348">
        <v>308.5</v>
      </c>
      <c r="F26" s="349">
        <f>E26*L6</f>
        <v>1419.1</v>
      </c>
      <c r="G26" s="116"/>
      <c r="H26" s="116"/>
      <c r="I26" s="116"/>
      <c r="J26" s="116"/>
      <c r="K26" s="116"/>
      <c r="L26" s="116"/>
    </row>
    <row r="27" spans="2:13" x14ac:dyDescent="0.25">
      <c r="B27" s="340" t="s">
        <v>266</v>
      </c>
      <c r="C27" s="349">
        <f>4.7*4.8</f>
        <v>22.56</v>
      </c>
      <c r="D27" s="349">
        <f>C27*L7</f>
        <v>74.799935999999988</v>
      </c>
      <c r="E27" s="116"/>
      <c r="F27" s="116"/>
      <c r="G27" s="116"/>
      <c r="H27" s="116"/>
      <c r="I27" s="116"/>
      <c r="J27" s="116"/>
      <c r="K27" s="116"/>
      <c r="L27" s="116"/>
    </row>
    <row r="28" spans="2:13" x14ac:dyDescent="0.25">
      <c r="B28" s="340" t="s">
        <v>267</v>
      </c>
      <c r="C28" s="116"/>
      <c r="D28" s="116"/>
      <c r="E28" s="116"/>
      <c r="F28" s="116"/>
      <c r="G28" s="349">
        <f>28.6</f>
        <v>28.6</v>
      </c>
      <c r="H28" s="349">
        <f>G28*L8</f>
        <v>186.18600000000001</v>
      </c>
      <c r="I28" s="349">
        <f>G28</f>
        <v>28.6</v>
      </c>
      <c r="J28" s="349">
        <f>I28*L8</f>
        <v>186.18600000000001</v>
      </c>
      <c r="K28" s="116"/>
      <c r="L28" s="116"/>
    </row>
    <row r="29" spans="2:13" x14ac:dyDescent="0.25">
      <c r="B29" s="340" t="s">
        <v>348</v>
      </c>
      <c r="C29" s="349">
        <f>(5*0.3)*2+(5.1*0.3)*2</f>
        <v>6.06</v>
      </c>
      <c r="D29" s="349">
        <f>C29*L8</f>
        <v>39.450599999999994</v>
      </c>
      <c r="E29" s="349">
        <f>I28+(61.6*0.5)</f>
        <v>59.400000000000006</v>
      </c>
      <c r="F29" s="349">
        <f>E29*L8</f>
        <v>386.69400000000002</v>
      </c>
      <c r="G29" s="116"/>
      <c r="H29" s="116"/>
      <c r="I29" s="116"/>
      <c r="J29" s="116"/>
      <c r="K29" s="116"/>
      <c r="L29" s="116"/>
    </row>
    <row r="30" spans="2:13" x14ac:dyDescent="0.25">
      <c r="B30" s="340" t="s">
        <v>269</v>
      </c>
      <c r="C30" s="116"/>
      <c r="D30" s="116"/>
      <c r="E30" s="349">
        <f>4.8*4.4</f>
        <v>21.12</v>
      </c>
      <c r="F30" s="349">
        <f>E30*L10</f>
        <v>152.06399999999999</v>
      </c>
      <c r="G30" s="349">
        <f>5.5*4.4</f>
        <v>24.200000000000003</v>
      </c>
      <c r="H30" s="349">
        <f>G30*L10</f>
        <v>174.24</v>
      </c>
      <c r="I30" s="349">
        <f>G30</f>
        <v>24.200000000000003</v>
      </c>
      <c r="J30" s="349">
        <f>I30*L10</f>
        <v>174.24</v>
      </c>
      <c r="K30" s="349">
        <f>E30</f>
        <v>21.12</v>
      </c>
      <c r="L30" s="349">
        <f>K30*L10</f>
        <v>152.06399999999999</v>
      </c>
    </row>
    <row r="31" spans="2:13" s="439" customFormat="1" x14ac:dyDescent="0.25">
      <c r="B31" s="438" t="s">
        <v>387</v>
      </c>
      <c r="C31" s="116"/>
      <c r="D31" s="116"/>
      <c r="E31" s="350"/>
      <c r="F31" s="350"/>
      <c r="G31" s="350"/>
      <c r="H31" s="350"/>
      <c r="I31" s="349">
        <v>133.69999999999999</v>
      </c>
      <c r="J31" s="349">
        <f>I31*L11</f>
        <v>595.63349999999991</v>
      </c>
      <c r="K31" s="448">
        <f>I31</f>
        <v>133.69999999999999</v>
      </c>
      <c r="L31" s="349">
        <f>I31*L11</f>
        <v>595.63349999999991</v>
      </c>
    </row>
    <row r="32" spans="2:13" x14ac:dyDescent="0.25">
      <c r="B32" s="340" t="s">
        <v>278</v>
      </c>
      <c r="C32" s="116"/>
      <c r="D32" s="116"/>
      <c r="E32" s="116"/>
      <c r="F32" s="350"/>
      <c r="G32" s="349">
        <f>I31</f>
        <v>133.69999999999999</v>
      </c>
      <c r="H32" s="349">
        <f>G32*L12</f>
        <v>495.35849999999999</v>
      </c>
      <c r="I32" s="350"/>
      <c r="J32" s="350"/>
      <c r="K32" s="350"/>
      <c r="L32" s="350"/>
    </row>
    <row r="33" spans="2:12" x14ac:dyDescent="0.25">
      <c r="B33" s="340" t="s">
        <v>279</v>
      </c>
      <c r="C33" s="349">
        <f>4.7*2+4.8*2</f>
        <v>19</v>
      </c>
      <c r="D33" s="349">
        <f>C33*L13</f>
        <v>56.145000000000003</v>
      </c>
      <c r="E33" s="349">
        <f>I31</f>
        <v>133.69999999999999</v>
      </c>
      <c r="F33" s="349">
        <f>E33*L13</f>
        <v>395.08349999999996</v>
      </c>
      <c r="G33" s="116"/>
      <c r="H33" s="116"/>
      <c r="I33" s="116"/>
      <c r="J33" s="116"/>
      <c r="K33" s="116"/>
      <c r="L33" s="350"/>
    </row>
    <row r="34" spans="2:12" x14ac:dyDescent="0.25">
      <c r="B34" s="340" t="s">
        <v>311</v>
      </c>
      <c r="C34" s="116"/>
      <c r="D34" s="116"/>
      <c r="E34" s="349">
        <f>(4.8*2)+(5.3*2)+5.2+4.7</f>
        <v>30.099999999999998</v>
      </c>
      <c r="F34" s="349">
        <f>E34*L14</f>
        <v>143.3964</v>
      </c>
      <c r="G34" s="349">
        <f>E34</f>
        <v>30.099999999999998</v>
      </c>
      <c r="H34" s="349">
        <f>G34*L14</f>
        <v>143.3964</v>
      </c>
      <c r="I34" s="349">
        <f>E34</f>
        <v>30.099999999999998</v>
      </c>
      <c r="J34" s="349">
        <f>I34*L14</f>
        <v>143.3964</v>
      </c>
      <c r="K34" s="349">
        <f>E34</f>
        <v>30.099999999999998</v>
      </c>
      <c r="L34" s="349">
        <f>K34*L14</f>
        <v>143.3964</v>
      </c>
    </row>
    <row r="35" spans="2:12" x14ac:dyDescent="0.25">
      <c r="B35" s="340" t="s">
        <v>280</v>
      </c>
      <c r="C35" s="349">
        <f>24*0.5</f>
        <v>12</v>
      </c>
      <c r="D35" s="349">
        <f>C35*L15</f>
        <v>69.600000000000009</v>
      </c>
      <c r="E35" s="349">
        <f>(C35+90*0.9)*0.5</f>
        <v>46.5</v>
      </c>
      <c r="F35" s="349">
        <f>E35*L15</f>
        <v>269.70000000000005</v>
      </c>
      <c r="G35" s="349">
        <f>90*0.9</f>
        <v>81</v>
      </c>
      <c r="H35" s="349">
        <f>G35*L15</f>
        <v>469.80000000000007</v>
      </c>
      <c r="I35" s="349">
        <f>G35</f>
        <v>81</v>
      </c>
      <c r="J35" s="349">
        <f>I35*L15</f>
        <v>469.80000000000007</v>
      </c>
      <c r="K35" s="349">
        <f>G35</f>
        <v>81</v>
      </c>
      <c r="L35" s="349">
        <f>K35*L15</f>
        <v>469.80000000000007</v>
      </c>
    </row>
    <row r="36" spans="2:12" x14ac:dyDescent="0.25">
      <c r="B36" s="340" t="s">
        <v>281</v>
      </c>
      <c r="C36" s="116"/>
      <c r="D36" s="116"/>
      <c r="E36" s="349">
        <f>0.8*75.8*0.5</f>
        <v>30.32</v>
      </c>
      <c r="F36" s="349">
        <f>E36*L16</f>
        <v>90.960000000000008</v>
      </c>
      <c r="G36" s="349">
        <f>89.8*0.8</f>
        <v>71.84</v>
      </c>
      <c r="H36" s="349">
        <f>G36*L16</f>
        <v>215.52</v>
      </c>
      <c r="I36" s="349">
        <f>G36</f>
        <v>71.84</v>
      </c>
      <c r="J36" s="349">
        <f>I36*L16</f>
        <v>215.52</v>
      </c>
      <c r="K36" s="349">
        <f>G36</f>
        <v>71.84</v>
      </c>
      <c r="L36" s="349">
        <f>K36*L16</f>
        <v>215.52</v>
      </c>
    </row>
    <row r="37" spans="2:12" x14ac:dyDescent="0.25">
      <c r="B37" s="340" t="s">
        <v>457</v>
      </c>
      <c r="C37" s="116"/>
      <c r="D37" s="116"/>
      <c r="E37" s="116"/>
      <c r="F37" s="350"/>
      <c r="G37" s="116"/>
      <c r="H37" s="116"/>
      <c r="I37" s="116"/>
      <c r="J37" s="116"/>
      <c r="K37" s="349">
        <f>24*0.5</f>
        <v>12</v>
      </c>
      <c r="L37" s="349">
        <f>K37*L17</f>
        <v>182.70000000000002</v>
      </c>
    </row>
    <row r="38" spans="2:12" s="446" customFormat="1" x14ac:dyDescent="0.25">
      <c r="B38" s="438" t="s">
        <v>458</v>
      </c>
      <c r="C38" s="116"/>
      <c r="D38" s="116"/>
      <c r="E38" s="116"/>
      <c r="F38" s="350"/>
      <c r="G38" s="116"/>
      <c r="H38" s="116"/>
      <c r="I38" s="349">
        <f>24</f>
        <v>24</v>
      </c>
      <c r="J38" s="349">
        <f>I38*L18</f>
        <v>315</v>
      </c>
      <c r="K38" s="349">
        <f>24*0.5</f>
        <v>12</v>
      </c>
      <c r="L38" s="349">
        <f>K38*L18</f>
        <v>157.5</v>
      </c>
    </row>
    <row r="39" spans="2:12" s="446" customFormat="1" x14ac:dyDescent="0.25">
      <c r="B39" s="438" t="s">
        <v>459</v>
      </c>
      <c r="C39" s="116"/>
      <c r="D39" s="116"/>
      <c r="E39" s="116"/>
      <c r="F39" s="350"/>
      <c r="G39" s="349">
        <f>24</f>
        <v>24</v>
      </c>
      <c r="H39" s="349">
        <f>G39*L19</f>
        <v>327.60000000000002</v>
      </c>
      <c r="I39" s="350"/>
      <c r="J39" s="350"/>
      <c r="K39" s="116"/>
      <c r="L39" s="350"/>
    </row>
    <row r="40" spans="2:12" s="446" customFormat="1" x14ac:dyDescent="0.25">
      <c r="B40" s="438" t="s">
        <v>464</v>
      </c>
      <c r="C40" s="116"/>
      <c r="D40" s="116"/>
      <c r="E40" s="449">
        <f>24*0.5</f>
        <v>12</v>
      </c>
      <c r="F40" s="449">
        <f>E40*L20</f>
        <v>121.5</v>
      </c>
      <c r="G40" s="116"/>
      <c r="H40" s="116"/>
      <c r="I40" s="116"/>
      <c r="J40" s="116"/>
      <c r="K40" s="116"/>
      <c r="L40" s="350"/>
    </row>
    <row r="41" spans="2:12" x14ac:dyDescent="0.25">
      <c r="B41" s="340" t="s">
        <v>346</v>
      </c>
      <c r="C41" s="349">
        <f>4*0.5</f>
        <v>2</v>
      </c>
      <c r="D41" s="349">
        <f>C41*L21</f>
        <v>20.25</v>
      </c>
      <c r="E41" s="349">
        <f>4*0.5</f>
        <v>2</v>
      </c>
      <c r="F41" s="349">
        <f>E41*L21</f>
        <v>20.25</v>
      </c>
      <c r="G41" s="116"/>
      <c r="H41" s="116"/>
      <c r="I41" s="116"/>
      <c r="J41" s="116"/>
      <c r="K41" s="116"/>
      <c r="L41" s="350"/>
    </row>
    <row r="43" spans="2:12" x14ac:dyDescent="0.25">
      <c r="B43" s="438" t="s">
        <v>98</v>
      </c>
      <c r="D43" s="116">
        <f>SUM(D25:D41)</f>
        <v>260.24553600000002</v>
      </c>
      <c r="E43" s="445"/>
      <c r="F43" s="116">
        <f t="shared" ref="F43" si="0">SUM(F25:F41)</f>
        <v>2998.7479000000003</v>
      </c>
      <c r="G43" s="445"/>
      <c r="H43" s="116">
        <f t="shared" ref="H43:L43" si="1">SUM(H25:H41)</f>
        <v>3386.6534999999999</v>
      </c>
      <c r="I43" s="445"/>
      <c r="J43" s="116">
        <f t="shared" si="1"/>
        <v>3474.3284999999996</v>
      </c>
      <c r="K43" s="445"/>
      <c r="L43" s="116">
        <f t="shared" si="1"/>
        <v>3291.1664999999998</v>
      </c>
    </row>
    <row r="44" spans="2:12" x14ac:dyDescent="0.25">
      <c r="B44" s="447" t="s">
        <v>466</v>
      </c>
      <c r="D44" s="451">
        <f>D43/9.81</f>
        <v>26.528596941896026</v>
      </c>
      <c r="E44" s="445"/>
      <c r="F44" s="451">
        <f t="shared" ref="F44" si="2">F43/9.81</f>
        <v>305.68276248725789</v>
      </c>
      <c r="G44" s="445"/>
      <c r="H44" s="452">
        <f t="shared" ref="H44" si="3">H43/9.81</f>
        <v>345.22461773700303</v>
      </c>
      <c r="I44" s="445"/>
      <c r="J44" s="452">
        <f t="shared" ref="J44" si="4">J43/9.81</f>
        <v>354.1619266055045</v>
      </c>
      <c r="K44" s="445"/>
      <c r="L44" s="452">
        <f t="shared" ref="L44" si="5">L43/9.81</f>
        <v>335.49097859327213</v>
      </c>
    </row>
    <row r="45" spans="2:12" x14ac:dyDescent="0.25">
      <c r="L45" s="519"/>
    </row>
    <row r="46" spans="2:12" x14ac:dyDescent="0.25">
      <c r="F46" s="520"/>
      <c r="G46" s="520"/>
      <c r="H46" s="520"/>
      <c r="I46" s="520"/>
      <c r="J46" s="520"/>
      <c r="K46" s="520"/>
      <c r="L46" s="520"/>
    </row>
    <row r="47" spans="2:12" x14ac:dyDescent="0.25">
      <c r="B47" s="338" t="s">
        <v>467</v>
      </c>
      <c r="C47" s="617" t="s">
        <v>468</v>
      </c>
      <c r="D47" s="617"/>
      <c r="E47" s="617"/>
    </row>
    <row r="48" spans="2:12" x14ac:dyDescent="0.25">
      <c r="B48" s="307" t="s">
        <v>469</v>
      </c>
      <c r="D48" s="307">
        <v>7.4999999999999997E-2</v>
      </c>
      <c r="F48" s="307" t="s">
        <v>470</v>
      </c>
      <c r="H48" s="307" t="s">
        <v>471</v>
      </c>
      <c r="I48" s="307">
        <f>Dati!D14</f>
        <v>3.9</v>
      </c>
    </row>
    <row r="49" spans="2:18" x14ac:dyDescent="0.25">
      <c r="B49" s="307" t="s">
        <v>472</v>
      </c>
      <c r="D49" s="307">
        <f>'Masse &amp; forze'!C18</f>
        <v>19.200000000000003</v>
      </c>
    </row>
    <row r="50" spans="2:18" x14ac:dyDescent="0.25">
      <c r="B50" s="307" t="s">
        <v>379</v>
      </c>
      <c r="D50" s="450">
        <f>'Masse &amp; forze'!C19</f>
        <v>0.68791881038714409</v>
      </c>
      <c r="H50" s="307" t="s">
        <v>473</v>
      </c>
      <c r="I50" s="450">
        <f>Dati!D28</f>
        <v>0.10808325624768722</v>
      </c>
    </row>
    <row r="52" spans="2:18" x14ac:dyDescent="0.25">
      <c r="D52" s="480" t="s">
        <v>81</v>
      </c>
      <c r="E52" s="480" t="s">
        <v>543</v>
      </c>
      <c r="F52" s="480" t="s">
        <v>526</v>
      </c>
      <c r="G52" s="480" t="s">
        <v>474</v>
      </c>
      <c r="H52" s="480" t="s">
        <v>544</v>
      </c>
      <c r="I52" s="480" t="str">
        <f>'Tabella Rigidezze'!J2</f>
        <v>x Gm</v>
      </c>
      <c r="J52" s="480" t="str">
        <f>'Tabella Rigidezze'!K2</f>
        <v>y Gm</v>
      </c>
      <c r="K52" s="480" t="str">
        <f>'Tabella Rigidezze'!L2</f>
        <v>rm</v>
      </c>
      <c r="M52" s="307" t="s">
        <v>475</v>
      </c>
      <c r="N52" s="307" t="s">
        <v>476</v>
      </c>
      <c r="P52" s="307" t="s">
        <v>477</v>
      </c>
      <c r="Q52" s="307" t="s">
        <v>478</v>
      </c>
    </row>
    <row r="53" spans="2:18" x14ac:dyDescent="0.25">
      <c r="D53" s="126" t="s">
        <v>545</v>
      </c>
      <c r="E53" s="100">
        <f>SUM(C25:C30)+SUM(E25:E30)</f>
        <v>417.64</v>
      </c>
      <c r="F53" s="100">
        <f>D44+F44</f>
        <v>332.2113594291539</v>
      </c>
      <c r="G53" s="100">
        <f t="shared" ref="G53:G58" si="6">H53/E53</f>
        <v>7.8033556077004125</v>
      </c>
      <c r="H53" s="100">
        <f>D43+F43</f>
        <v>3258.9934360000002</v>
      </c>
      <c r="I53" s="100">
        <f>'Tabella Rigidezze'!J3</f>
        <v>12.76</v>
      </c>
      <c r="J53" s="100">
        <f>'Tabella Rigidezze'!K3</f>
        <v>9.01</v>
      </c>
      <c r="K53" s="100">
        <f>'Tabella Rigidezze'!L3</f>
        <v>8.5881138790772908</v>
      </c>
      <c r="M53" s="307">
        <f>'Masse &amp; forze'!D26</f>
        <v>19.200000000000003</v>
      </c>
      <c r="N53" s="445">
        <f t="shared" ref="N53:N58" si="7">H53*M53</f>
        <v>62572.673971200013</v>
      </c>
      <c r="O53" s="450">
        <f t="shared" ref="O53:O58" ca="1" si="8">$H$59*M53/$N$59</f>
        <v>1.7204880527710338</v>
      </c>
      <c r="P53" s="445">
        <f t="shared" ref="P53:P58" ca="1" si="9">0.85*H53*$I$50*O53</f>
        <v>515.12484035812724</v>
      </c>
      <c r="Q53" s="445">
        <f ca="1">P53</f>
        <v>515.12484035812724</v>
      </c>
      <c r="R53" s="307" t="s">
        <v>479</v>
      </c>
    </row>
    <row r="54" spans="2:18" x14ac:dyDescent="0.25">
      <c r="D54" s="126">
        <v>6</v>
      </c>
      <c r="E54" s="100">
        <f>SUM(G25:G30)</f>
        <v>361.3</v>
      </c>
      <c r="F54" s="100">
        <f>H44</f>
        <v>345.22461773700303</v>
      </c>
      <c r="G54" s="100">
        <f t="shared" si="6"/>
        <v>9.3735220038748963</v>
      </c>
      <c r="H54" s="100">
        <f>H43</f>
        <v>3386.6534999999999</v>
      </c>
      <c r="I54" s="100">
        <f>'Tabella Rigidezze'!J4</f>
        <v>12.29</v>
      </c>
      <c r="J54" s="100">
        <f>'Tabella Rigidezze'!K4</f>
        <v>8.44</v>
      </c>
      <c r="K54" s="100">
        <f>'Tabella Rigidezze'!L4</f>
        <v>8.1857271515730368</v>
      </c>
      <c r="M54" s="446">
        <f>'Masse &amp; forze'!D27</f>
        <v>16</v>
      </c>
      <c r="N54" s="445">
        <f t="shared" si="7"/>
        <v>54186.455999999998</v>
      </c>
      <c r="O54" s="450">
        <f t="shared" ca="1" si="8"/>
        <v>1.4337400439758614</v>
      </c>
      <c r="P54" s="445">
        <f t="shared" ca="1" si="9"/>
        <v>446.08593056802977</v>
      </c>
      <c r="Q54" s="445">
        <f ca="1">Q53+P54</f>
        <v>961.21077092615701</v>
      </c>
      <c r="R54" s="446" t="s">
        <v>479</v>
      </c>
    </row>
    <row r="55" spans="2:18" x14ac:dyDescent="0.25">
      <c r="D55" s="126">
        <f>D54-1</f>
        <v>5</v>
      </c>
      <c r="E55" s="100">
        <f>SUM(G25:G30)</f>
        <v>361.3</v>
      </c>
      <c r="F55" s="100">
        <f>H44</f>
        <v>345.22461773700303</v>
      </c>
      <c r="G55" s="100">
        <f t="shared" si="6"/>
        <v>9.3735220038748963</v>
      </c>
      <c r="H55" s="100">
        <f>H43</f>
        <v>3386.6534999999999</v>
      </c>
      <c r="I55" s="100">
        <f>'Tabella Rigidezze'!J5</f>
        <v>12.29</v>
      </c>
      <c r="J55" s="100">
        <f>'Tabella Rigidezze'!K5</f>
        <v>8.44</v>
      </c>
      <c r="K55" s="100">
        <f>'Tabella Rigidezze'!L5</f>
        <v>8.1857271515730368</v>
      </c>
      <c r="M55" s="446">
        <f>'Masse &amp; forze'!D28</f>
        <v>12.8</v>
      </c>
      <c r="N55" s="445">
        <f t="shared" si="7"/>
        <v>43349.164799999999</v>
      </c>
      <c r="O55" s="450">
        <f t="shared" ca="1" si="8"/>
        <v>1.1469920351806893</v>
      </c>
      <c r="P55" s="445">
        <f t="shared" ca="1" si="9"/>
        <v>356.86874445442385</v>
      </c>
      <c r="Q55" s="445">
        <f t="shared" ref="Q55:Q58" ca="1" si="10">Q54+P55</f>
        <v>1318.0795153805809</v>
      </c>
      <c r="R55" s="446" t="s">
        <v>479</v>
      </c>
    </row>
    <row r="56" spans="2:18" x14ac:dyDescent="0.25">
      <c r="D56" s="126">
        <f t="shared" ref="D56:D58" si="11">D55-1</f>
        <v>4</v>
      </c>
      <c r="E56" s="100">
        <f>SUM(I25:I30)</f>
        <v>361.3</v>
      </c>
      <c r="F56" s="100">
        <f>J44</f>
        <v>354.1619266055045</v>
      </c>
      <c r="G56" s="100">
        <f t="shared" si="6"/>
        <v>9.6161873789094923</v>
      </c>
      <c r="H56" s="100">
        <f>J43</f>
        <v>3474.3284999999996</v>
      </c>
      <c r="I56" s="100">
        <f>'Tabella Rigidezze'!J6</f>
        <v>12.29</v>
      </c>
      <c r="J56" s="100">
        <f>'Tabella Rigidezze'!K6</f>
        <v>8.44</v>
      </c>
      <c r="K56" s="100">
        <f>'Tabella Rigidezze'!L6</f>
        <v>8.1857271515730368</v>
      </c>
      <c r="M56" s="446">
        <f>'Masse &amp; forze'!D29</f>
        <v>9.6000000000000014</v>
      </c>
      <c r="N56" s="445">
        <f t="shared" si="7"/>
        <v>33353.553599999999</v>
      </c>
      <c r="O56" s="450">
        <f t="shared" ca="1" si="8"/>
        <v>0.86024402638551689</v>
      </c>
      <c r="P56" s="445">
        <f t="shared" ca="1" si="9"/>
        <v>274.58062574541981</v>
      </c>
      <c r="Q56" s="445">
        <f t="shared" ca="1" si="10"/>
        <v>1592.6601411260008</v>
      </c>
      <c r="R56" s="446" t="s">
        <v>479</v>
      </c>
    </row>
    <row r="57" spans="2:18" x14ac:dyDescent="0.25">
      <c r="D57" s="126">
        <f t="shared" si="11"/>
        <v>3</v>
      </c>
      <c r="E57" s="100">
        <f>SUM(I25:I30)</f>
        <v>361.3</v>
      </c>
      <c r="F57" s="100">
        <f>J44</f>
        <v>354.1619266055045</v>
      </c>
      <c r="G57" s="100">
        <f t="shared" si="6"/>
        <v>9.6161873789094923</v>
      </c>
      <c r="H57" s="100">
        <f>J43</f>
        <v>3474.3284999999996</v>
      </c>
      <c r="I57" s="100">
        <f>'Tabella Rigidezze'!J7</f>
        <v>12.29</v>
      </c>
      <c r="J57" s="100">
        <f>'Tabella Rigidezze'!K7</f>
        <v>8.44</v>
      </c>
      <c r="K57" s="100">
        <f>'Tabella Rigidezze'!L7</f>
        <v>8.1857271515730368</v>
      </c>
      <c r="M57" s="446">
        <f>'Masse &amp; forze'!D30</f>
        <v>6.4</v>
      </c>
      <c r="N57" s="445">
        <f t="shared" si="7"/>
        <v>22235.702399999998</v>
      </c>
      <c r="O57" s="450">
        <f t="shared" ca="1" si="8"/>
        <v>0.57349601759034463</v>
      </c>
      <c r="P57" s="445">
        <f t="shared" ca="1" si="9"/>
        <v>183.05375049694655</v>
      </c>
      <c r="Q57" s="445">
        <f t="shared" ca="1" si="10"/>
        <v>1775.7138916229474</v>
      </c>
      <c r="R57" s="446" t="s">
        <v>479</v>
      </c>
    </row>
    <row r="58" spans="2:18" x14ac:dyDescent="0.25">
      <c r="D58" s="114">
        <f t="shared" si="11"/>
        <v>2</v>
      </c>
      <c r="E58" s="101">
        <f>SUM(K25:K30)</f>
        <v>329.62</v>
      </c>
      <c r="F58" s="101">
        <f>L44</f>
        <v>335.49097859327213</v>
      </c>
      <c r="G58" s="101">
        <f t="shared" si="6"/>
        <v>9.9847293853528303</v>
      </c>
      <c r="H58" s="101">
        <f>L43</f>
        <v>3291.1664999999998</v>
      </c>
      <c r="I58" s="101">
        <f>'Tabella Rigidezze'!J8</f>
        <v>12.39</v>
      </c>
      <c r="J58" s="101">
        <f>'Tabella Rigidezze'!K8</f>
        <v>8.48</v>
      </c>
      <c r="K58" s="101">
        <f>'Tabella Rigidezze'!L8</f>
        <v>8.0495548324115411</v>
      </c>
      <c r="M58" s="446">
        <f>'Masse &amp; forze'!D31</f>
        <v>3.2</v>
      </c>
      <c r="N58" s="445">
        <f t="shared" si="7"/>
        <v>10531.7328</v>
      </c>
      <c r="O58" s="450">
        <f t="shared" ca="1" si="8"/>
        <v>0.28674800879517232</v>
      </c>
      <c r="P58" s="445">
        <f t="shared" ca="1" si="9"/>
        <v>86.701699527679779</v>
      </c>
      <c r="Q58" s="445">
        <f t="shared" ca="1" si="10"/>
        <v>1862.4155911506271</v>
      </c>
      <c r="R58" s="446" t="s">
        <v>479</v>
      </c>
    </row>
    <row r="59" spans="2:18" x14ac:dyDescent="0.25">
      <c r="D59" s="526"/>
      <c r="E59" s="524"/>
      <c r="F59" s="479"/>
      <c r="G59" s="445"/>
      <c r="H59" s="116">
        <f>SUM(H53:H58)</f>
        <v>20272.123935999996</v>
      </c>
      <c r="I59" s="526"/>
      <c r="J59" s="526"/>
      <c r="K59" s="526"/>
      <c r="M59" s="446"/>
      <c r="N59" s="445">
        <f ca="1">SUM(N53:N59)</f>
        <v>226229.28357120004</v>
      </c>
      <c r="O59" s="450"/>
      <c r="P59" s="445"/>
      <c r="Q59" s="445"/>
      <c r="R59" s="446"/>
    </row>
    <row r="60" spans="2:18" x14ac:dyDescent="0.25">
      <c r="I60" s="526"/>
      <c r="J60" s="526"/>
      <c r="K60" s="526"/>
    </row>
  </sheetData>
  <mergeCells count="6">
    <mergeCell ref="K23:L23"/>
    <mergeCell ref="C47:E47"/>
    <mergeCell ref="G23:H23"/>
    <mergeCell ref="C23:D23"/>
    <mergeCell ref="E23:F23"/>
    <mergeCell ref="I23:J23"/>
  </mergeCells>
  <pageMargins left="0.7" right="0.7" top="0.75" bottom="0.75" header="0.3" footer="0.3"/>
  <pageSetup paperSize="9" orientation="portrait" r:id="rId1"/>
  <ignoredErrors>
    <ignoredError sqref="F30 H28 J35 H30:H35 J30 D41" formula="1"/>
  </ignoredError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5"/>
  <sheetViews>
    <sheetView zoomScale="80" zoomScaleNormal="80" workbookViewId="0">
      <selection activeCell="G18" sqref="G18"/>
    </sheetView>
  </sheetViews>
  <sheetFormatPr defaultRowHeight="15" x14ac:dyDescent="0.25"/>
  <cols>
    <col min="1" max="1" width="19.5703125" style="466" customWidth="1"/>
    <col min="2" max="2" width="9.140625" style="466"/>
    <col min="3" max="3" width="12" style="466" customWidth="1"/>
    <col min="4" max="4" width="9.7109375" style="466" bestFit="1" customWidth="1"/>
    <col min="5" max="10" width="9.140625" style="466"/>
    <col min="11" max="11" width="12.5703125" style="466" customWidth="1"/>
    <col min="12" max="12" width="14.140625" style="466" customWidth="1"/>
    <col min="13" max="13" width="12" style="466" customWidth="1"/>
    <col min="14" max="14" width="10" style="466" customWidth="1"/>
    <col min="15" max="16384" width="9.140625" style="466"/>
  </cols>
  <sheetData>
    <row r="1" spans="1:195" x14ac:dyDescent="0.25">
      <c r="A1" s="338" t="s">
        <v>485</v>
      </c>
      <c r="K1" s="480" t="s">
        <v>81</v>
      </c>
      <c r="L1" s="118" t="s">
        <v>482</v>
      </c>
      <c r="M1" s="480" t="s">
        <v>483</v>
      </c>
      <c r="N1" s="492" t="s">
        <v>484</v>
      </c>
    </row>
    <row r="2" spans="1:195" x14ac:dyDescent="0.25">
      <c r="K2" s="126" t="s">
        <v>545</v>
      </c>
      <c r="L2" s="493">
        <f>'Bil. Rigid 7 Ordine'!V49</f>
        <v>12.76</v>
      </c>
      <c r="M2" s="126">
        <f>'Bil. Rigid 7 Ordine'!W22</f>
        <v>9.01</v>
      </c>
      <c r="N2" s="478">
        <v>8.3000000000000007</v>
      </c>
    </row>
    <row r="3" spans="1:195" x14ac:dyDescent="0.25">
      <c r="A3" s="466" t="s">
        <v>486</v>
      </c>
      <c r="C3" s="466" t="s">
        <v>487</v>
      </c>
      <c r="D3" s="466" t="s">
        <v>488</v>
      </c>
      <c r="E3" s="466" t="s">
        <v>489</v>
      </c>
      <c r="F3" s="466" t="s">
        <v>490</v>
      </c>
      <c r="G3" s="466" t="s">
        <v>491</v>
      </c>
      <c r="H3" s="466" t="s">
        <v>492</v>
      </c>
      <c r="K3" s="126">
        <v>6</v>
      </c>
      <c r="L3" s="306">
        <f>'Bil. Rigid. Piano tipo'!$V$50</f>
        <v>12.29</v>
      </c>
      <c r="M3" s="126">
        <f>'Bil. Rigid. Piano tipo'!$W$22</f>
        <v>8.44</v>
      </c>
      <c r="N3" s="478">
        <v>8.02</v>
      </c>
    </row>
    <row r="4" spans="1:195" s="456" customFormat="1" x14ac:dyDescent="0.25">
      <c r="C4" s="456">
        <f>Dati!D5</f>
        <v>0.2</v>
      </c>
      <c r="D4" s="456">
        <v>1.0680000000000001</v>
      </c>
      <c r="E4" s="456">
        <f>Dati!D6</f>
        <v>2.4820000000000002</v>
      </c>
      <c r="F4" s="472">
        <f>Dati!D21</f>
        <v>0.16228455611726331</v>
      </c>
      <c r="G4" s="472">
        <f>Dati!D22</f>
        <v>0.48685366835178995</v>
      </c>
      <c r="H4" s="456">
        <v>2.4</v>
      </c>
      <c r="K4" s="126">
        <v>5</v>
      </c>
      <c r="L4" s="494">
        <f>'Bil. Rigid. Piano tipo'!$V$50</f>
        <v>12.29</v>
      </c>
      <c r="M4" s="496">
        <f>'Bil. Rigid. Piano tipo'!$W$22</f>
        <v>8.44</v>
      </c>
      <c r="N4" s="495">
        <v>8.02</v>
      </c>
    </row>
    <row r="5" spans="1:195" x14ac:dyDescent="0.25">
      <c r="K5" s="126">
        <v>4</v>
      </c>
      <c r="L5" s="494">
        <f>'Bil. Rigid. Ord. 3 e 4'!$V$50</f>
        <v>12.29</v>
      </c>
      <c r="M5" s="496">
        <f>'Bil. Rigid. Ord. 3 e 4'!$W$22</f>
        <v>8.44</v>
      </c>
      <c r="N5" s="495">
        <v>8.02</v>
      </c>
    </row>
    <row r="6" spans="1:195" x14ac:dyDescent="0.25">
      <c r="A6" s="466" t="s">
        <v>493</v>
      </c>
      <c r="C6" s="466" t="s">
        <v>366</v>
      </c>
      <c r="D6" s="466" t="s">
        <v>173</v>
      </c>
      <c r="K6" s="126">
        <v>3</v>
      </c>
      <c r="L6" s="494">
        <f>'Bil. Rigid. Ord. 3 e 4'!$V$50</f>
        <v>12.29</v>
      </c>
      <c r="M6" s="496">
        <f>'Bil. Rigid. Ord. 3 e 4'!$W$22</f>
        <v>8.44</v>
      </c>
      <c r="N6" s="495">
        <v>8.02</v>
      </c>
      <c r="GM6" s="466">
        <v>50</v>
      </c>
    </row>
    <row r="7" spans="1:195" s="456" customFormat="1" x14ac:dyDescent="0.25">
      <c r="C7" s="472">
        <f>Periodi!D19</f>
        <v>0.66900705813318617</v>
      </c>
      <c r="D7" s="456">
        <v>1</v>
      </c>
      <c r="K7" s="126">
        <v>2</v>
      </c>
      <c r="L7" s="494">
        <f>'Bil. Rigid. 2 Ordine'!$W$49</f>
        <v>12.39</v>
      </c>
      <c r="M7" s="496">
        <f>'Bil. Rigid. 2 Ordine'!$X$20</f>
        <v>8.48</v>
      </c>
      <c r="N7" s="495">
        <v>7.86</v>
      </c>
    </row>
    <row r="8" spans="1:195" x14ac:dyDescent="0.25">
      <c r="K8" s="114">
        <v>1</v>
      </c>
      <c r="L8" s="123">
        <f>'Bil. Rigid. 2 Ordine'!$W$49</f>
        <v>12.39</v>
      </c>
      <c r="M8" s="114">
        <f>'Bil. Rigid. 2 Ordine'!$X$20</f>
        <v>8.48</v>
      </c>
      <c r="N8" s="477">
        <v>7.86</v>
      </c>
    </row>
    <row r="9" spans="1:195" x14ac:dyDescent="0.25">
      <c r="A9" s="466" t="s">
        <v>494</v>
      </c>
      <c r="C9" s="466" t="s">
        <v>495</v>
      </c>
      <c r="D9" s="466">
        <f>ROUND(C4*D4*E4*D7*IF(C7&lt;F4,C7/F4+1/E4/D7*(1-C7/F4),IF(C7&lt;G4,1,IF(C7&lt;H4,G4/C7,G4*H4/C7^2))),3)</f>
        <v>0.38600000000000001</v>
      </c>
    </row>
    <row r="11" spans="1:195" x14ac:dyDescent="0.25">
      <c r="A11" s="466" t="s">
        <v>496</v>
      </c>
      <c r="B11" s="466" t="s">
        <v>497</v>
      </c>
      <c r="C11" s="466" t="s">
        <v>498</v>
      </c>
      <c r="D11" s="466" t="s">
        <v>499</v>
      </c>
      <c r="E11" s="466" t="s">
        <v>500</v>
      </c>
      <c r="F11" s="466" t="s">
        <v>471</v>
      </c>
    </row>
    <row r="12" spans="1:195" s="456" customFormat="1" x14ac:dyDescent="0.25">
      <c r="C12" s="456">
        <v>3</v>
      </c>
      <c r="D12" s="456">
        <v>1.3</v>
      </c>
      <c r="E12" s="456">
        <v>1</v>
      </c>
      <c r="F12" s="456">
        <f>C12*D12*E12</f>
        <v>3.9000000000000004</v>
      </c>
    </row>
    <row r="13" spans="1:195" x14ac:dyDescent="0.25">
      <c r="M13" s="620" t="s">
        <v>546</v>
      </c>
      <c r="N13" s="620"/>
    </row>
    <row r="14" spans="1:195" x14ac:dyDescent="0.25">
      <c r="B14" s="466" t="s">
        <v>473</v>
      </c>
      <c r="C14" s="456">
        <v>0.108</v>
      </c>
      <c r="E14" s="466">
        <f>ROUND(C4*D4*E4/F12*IF(C7&lt;F4,C7/F4+1/E4*F12*(1-C7/F4),IF(C7&lt;G4,1,IF(C7&lt;H4,G4/C7,G4*H4/C7^2))),3)</f>
        <v>9.9000000000000005E-2</v>
      </c>
      <c r="I14" s="466" t="s">
        <v>503</v>
      </c>
      <c r="J14" s="466">
        <v>22.5</v>
      </c>
      <c r="K14" s="466" t="s">
        <v>505</v>
      </c>
      <c r="M14" s="480" t="s">
        <v>506</v>
      </c>
      <c r="N14" s="480">
        <f>0.05*J14</f>
        <v>1.125</v>
      </c>
    </row>
    <row r="15" spans="1:195" x14ac:dyDescent="0.25">
      <c r="I15" s="466" t="s">
        <v>504</v>
      </c>
      <c r="J15" s="466">
        <v>15.5</v>
      </c>
      <c r="K15" s="466" t="s">
        <v>505</v>
      </c>
      <c r="M15" s="480" t="s">
        <v>507</v>
      </c>
      <c r="N15" s="480">
        <f>0.05*J15</f>
        <v>0.77500000000000002</v>
      </c>
    </row>
    <row r="16" spans="1:195" x14ac:dyDescent="0.25">
      <c r="A16" s="619" t="s">
        <v>501</v>
      </c>
      <c r="B16" s="619"/>
    </row>
    <row r="17" spans="1:14" x14ac:dyDescent="0.25">
      <c r="A17" s="466" t="str">
        <f>'Masse di Piano'!D52</f>
        <v>Impalcato</v>
      </c>
      <c r="C17" s="465" t="str">
        <f>'Masse di Piano'!H52</f>
        <v xml:space="preserve"> Peso W [kN]</v>
      </c>
      <c r="D17" s="466" t="str">
        <f>'Masse di Piano'!M52</f>
        <v>z</v>
      </c>
      <c r="E17" s="466" t="str">
        <f>'Masse di Piano'!N52</f>
        <v>Wz</v>
      </c>
      <c r="G17" s="466" t="s">
        <v>477</v>
      </c>
      <c r="J17" s="118" t="s">
        <v>508</v>
      </c>
      <c r="K17" s="492" t="s">
        <v>509</v>
      </c>
      <c r="M17" s="541"/>
      <c r="N17" s="541"/>
    </row>
    <row r="18" spans="1:14" x14ac:dyDescent="0.25">
      <c r="A18" s="466" t="str">
        <f>'Masse di Piano'!D53</f>
        <v>7 + torrino</v>
      </c>
      <c r="C18" s="465">
        <f>'Masse di Piano'!H53</f>
        <v>3258.9934360000002</v>
      </c>
      <c r="D18" s="466">
        <f>'Masse di Piano'!M53</f>
        <v>19.200000000000003</v>
      </c>
      <c r="E18" s="466">
        <f>C18*D18</f>
        <v>62572.673971200013</v>
      </c>
      <c r="F18" s="450">
        <f>$C$25/$E$25*D18</f>
        <v>1.720488052771034</v>
      </c>
      <c r="G18" s="465">
        <f>0.85*$C$14*C18*F18</f>
        <v>514.72804105000489</v>
      </c>
      <c r="H18" s="536"/>
      <c r="J18" s="106">
        <f>G18*$N$15</f>
        <v>398.91423181375382</v>
      </c>
      <c r="K18" s="109">
        <f>G18*$N$14</f>
        <v>579.06904618125554</v>
      </c>
      <c r="M18" s="544"/>
      <c r="N18" s="544"/>
    </row>
    <row r="19" spans="1:14" x14ac:dyDescent="0.25">
      <c r="A19" s="466">
        <f>'Masse di Piano'!D54</f>
        <v>6</v>
      </c>
      <c r="C19" s="465">
        <f>'Masse di Piano'!H54</f>
        <v>3386.6534999999999</v>
      </c>
      <c r="D19" s="466">
        <f>'Masse di Piano'!M54</f>
        <v>16</v>
      </c>
      <c r="E19" s="466">
        <f t="shared" ref="E19:E23" si="0">C19*D19</f>
        <v>54186.455999999998</v>
      </c>
      <c r="F19" s="450">
        <f t="shared" ref="F19:F23" si="1">$C$25/$E$25*D19</f>
        <v>1.4337400439758614</v>
      </c>
      <c r="G19" s="465">
        <f t="shared" ref="G19:G23" si="2">0.85*$C$14*C19*F19</f>
        <v>445.74231175032821</v>
      </c>
      <c r="H19" s="536"/>
      <c r="J19" s="106">
        <f t="shared" ref="J19:J24" si="3">G19*$N$15</f>
        <v>345.45029160650438</v>
      </c>
      <c r="K19" s="109">
        <f t="shared" ref="K19:K24" si="4">G19*$N$14</f>
        <v>501.46010071911923</v>
      </c>
      <c r="M19" s="544"/>
      <c r="N19" s="544"/>
    </row>
    <row r="20" spans="1:14" x14ac:dyDescent="0.25">
      <c r="A20" s="466">
        <f>'Masse di Piano'!D55</f>
        <v>5</v>
      </c>
      <c r="C20" s="465">
        <f>'Masse di Piano'!H55</f>
        <v>3386.6534999999999</v>
      </c>
      <c r="D20" s="466">
        <f>'Masse di Piano'!M55</f>
        <v>12.8</v>
      </c>
      <c r="E20" s="466">
        <f t="shared" si="0"/>
        <v>43349.164799999999</v>
      </c>
      <c r="F20" s="450">
        <f t="shared" si="1"/>
        <v>1.1469920351806893</v>
      </c>
      <c r="G20" s="465">
        <f t="shared" si="2"/>
        <v>356.59384940026257</v>
      </c>
      <c r="H20" s="536"/>
      <c r="J20" s="106">
        <f t="shared" si="3"/>
        <v>276.36023328520349</v>
      </c>
      <c r="K20" s="109">
        <f t="shared" si="4"/>
        <v>401.16808057529539</v>
      </c>
      <c r="M20" s="544"/>
      <c r="N20" s="544"/>
    </row>
    <row r="21" spans="1:14" x14ac:dyDescent="0.25">
      <c r="A21" s="466">
        <f>'Masse di Piano'!D56</f>
        <v>4</v>
      </c>
      <c r="C21" s="465">
        <f>'Masse di Piano'!H56</f>
        <v>3474.3284999999996</v>
      </c>
      <c r="D21" s="466">
        <f>'Masse di Piano'!M56</f>
        <v>9.6000000000000014</v>
      </c>
      <c r="E21" s="466">
        <f t="shared" si="0"/>
        <v>33353.553599999999</v>
      </c>
      <c r="F21" s="450">
        <f t="shared" si="1"/>
        <v>0.860244026385517</v>
      </c>
      <c r="G21" s="465">
        <f t="shared" si="2"/>
        <v>274.36911701242252</v>
      </c>
      <c r="H21" s="536"/>
      <c r="J21" s="106">
        <f t="shared" si="3"/>
        <v>212.63606568462745</v>
      </c>
      <c r="K21" s="109">
        <f t="shared" si="4"/>
        <v>308.66525663897534</v>
      </c>
      <c r="M21" s="544"/>
      <c r="N21" s="544"/>
    </row>
    <row r="22" spans="1:14" x14ac:dyDescent="0.25">
      <c r="A22" s="466">
        <f>'Masse di Piano'!D57</f>
        <v>3</v>
      </c>
      <c r="C22" s="465">
        <f>'Masse di Piano'!H57</f>
        <v>3474.3284999999996</v>
      </c>
      <c r="D22" s="466">
        <f>'Masse di Piano'!M57</f>
        <v>6.4</v>
      </c>
      <c r="E22" s="466">
        <f t="shared" si="0"/>
        <v>22235.702399999998</v>
      </c>
      <c r="F22" s="450">
        <f t="shared" si="1"/>
        <v>0.57349601759034463</v>
      </c>
      <c r="G22" s="465">
        <f t="shared" si="2"/>
        <v>182.91274467494833</v>
      </c>
      <c r="H22" s="536"/>
      <c r="J22" s="106">
        <f t="shared" si="3"/>
        <v>141.75737712308495</v>
      </c>
      <c r="K22" s="109">
        <f t="shared" si="4"/>
        <v>205.77683775931686</v>
      </c>
      <c r="M22" s="544"/>
      <c r="N22" s="544"/>
    </row>
    <row r="23" spans="1:14" x14ac:dyDescent="0.25">
      <c r="A23" s="466">
        <f>'Masse di Piano'!D58</f>
        <v>2</v>
      </c>
      <c r="C23" s="465">
        <f>'Masse di Piano'!H58</f>
        <v>3291.1664999999998</v>
      </c>
      <c r="D23" s="466">
        <f>'Masse di Piano'!M58</f>
        <v>3.2</v>
      </c>
      <c r="E23" s="466">
        <f t="shared" si="0"/>
        <v>10531.7328</v>
      </c>
      <c r="F23" s="450">
        <f t="shared" si="1"/>
        <v>0.28674800879517232</v>
      </c>
      <c r="G23" s="465">
        <f t="shared" si="2"/>
        <v>86.634913436832946</v>
      </c>
      <c r="H23" s="536"/>
      <c r="J23" s="106">
        <f t="shared" si="3"/>
        <v>67.142057913545528</v>
      </c>
      <c r="K23" s="109">
        <f t="shared" si="4"/>
        <v>97.464277616437059</v>
      </c>
      <c r="M23" s="544"/>
      <c r="N23" s="544"/>
    </row>
    <row r="24" spans="1:14" x14ac:dyDescent="0.25">
      <c r="C24" s="168"/>
      <c r="E24" s="464"/>
      <c r="F24" s="450"/>
      <c r="G24" s="168"/>
      <c r="J24" s="323">
        <f t="shared" si="3"/>
        <v>0</v>
      </c>
      <c r="K24" s="110">
        <f t="shared" si="4"/>
        <v>0</v>
      </c>
      <c r="M24" s="544"/>
      <c r="N24" s="544"/>
    </row>
    <row r="25" spans="1:14" x14ac:dyDescent="0.25">
      <c r="A25" s="466" t="s">
        <v>502</v>
      </c>
      <c r="C25" s="465">
        <f>'Masse di Piano'!H59</f>
        <v>20272.123935999996</v>
      </c>
      <c r="E25" s="466">
        <f>SUM(E18:E24)</f>
        <v>226229.28357120004</v>
      </c>
      <c r="G25" s="465">
        <f t="shared" ref="G25" si="5">SUM(G18:G24)</f>
        <v>1860.9809773247994</v>
      </c>
    </row>
  </sheetData>
  <mergeCells count="2">
    <mergeCell ref="A16:B16"/>
    <mergeCell ref="M13: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48"/>
  <sheetViews>
    <sheetView topLeftCell="W1" zoomScale="80" zoomScaleNormal="80" workbookViewId="0">
      <selection activeCell="J13" sqref="J13"/>
    </sheetView>
  </sheetViews>
  <sheetFormatPr defaultRowHeight="15" x14ac:dyDescent="0.25"/>
  <cols>
    <col min="1" max="1" width="12.28515625" customWidth="1"/>
    <col min="2" max="2" width="29" customWidth="1"/>
    <col min="3" max="3" width="16.28515625" customWidth="1"/>
    <col min="5" max="5" width="22.140625" customWidth="1"/>
    <col min="6" max="6" width="20.7109375" customWidth="1"/>
    <col min="8" max="8" width="27.140625" customWidth="1"/>
    <col min="9" max="9" width="23" customWidth="1"/>
    <col min="10" max="11" width="15.5703125" customWidth="1"/>
    <col min="12" max="12" width="26.5703125" customWidth="1"/>
    <col min="13" max="14" width="19.85546875" customWidth="1"/>
    <col min="15" max="15" width="18.85546875" customWidth="1"/>
    <col min="16" max="16" width="24" customWidth="1"/>
    <col min="17" max="17" width="18.85546875" customWidth="1"/>
    <col min="19" max="19" width="22.7109375" customWidth="1"/>
    <col min="20" max="24" width="25.7109375" customWidth="1"/>
    <col min="25" max="25" width="21" customWidth="1"/>
    <col min="26" max="26" width="23.140625" customWidth="1"/>
    <col min="27" max="27" width="22.7109375" customWidth="1"/>
    <col min="28" max="28" width="18.5703125" customWidth="1"/>
    <col min="29" max="29" width="22.7109375" customWidth="1"/>
    <col min="30" max="30" width="22" customWidth="1"/>
    <col min="31" max="31" width="17.42578125" customWidth="1"/>
    <col min="32" max="32" width="12.5703125" customWidth="1"/>
    <col min="33" max="33" width="24.140625" customWidth="1"/>
  </cols>
  <sheetData>
    <row r="1" spans="2:33" x14ac:dyDescent="0.25">
      <c r="B1" s="569" t="s">
        <v>15</v>
      </c>
      <c r="C1" s="570"/>
      <c r="D1" s="570"/>
      <c r="E1" s="570"/>
      <c r="F1" s="571"/>
      <c r="J1" s="18"/>
      <c r="K1" s="18"/>
      <c r="L1" s="18"/>
      <c r="M1" s="18"/>
      <c r="N1" s="18"/>
      <c r="O1" s="18"/>
      <c r="P1" s="565" t="s">
        <v>32</v>
      </c>
      <c r="Q1" s="565"/>
      <c r="R1" s="565"/>
      <c r="S1" s="565"/>
      <c r="T1" s="565"/>
      <c r="U1" s="18"/>
      <c r="V1" s="18"/>
      <c r="W1" s="18"/>
      <c r="X1" s="18"/>
      <c r="Z1" s="562"/>
      <c r="AA1" s="562"/>
    </row>
    <row r="2" spans="2:33" x14ac:dyDescent="0.25">
      <c r="B2" s="553" t="s">
        <v>13</v>
      </c>
      <c r="C2" s="554"/>
      <c r="E2" s="553" t="s">
        <v>25</v>
      </c>
      <c r="F2" s="554"/>
      <c r="H2" s="560" t="s">
        <v>132</v>
      </c>
      <c r="I2" s="561"/>
      <c r="J2" s="18"/>
      <c r="K2" s="18"/>
      <c r="L2" s="566" t="s">
        <v>181</v>
      </c>
      <c r="M2" s="567"/>
      <c r="N2" s="83"/>
      <c r="O2" s="15"/>
      <c r="P2" s="553" t="s">
        <v>13</v>
      </c>
      <c r="Q2" s="554"/>
      <c r="S2" s="553" t="s">
        <v>25</v>
      </c>
      <c r="T2" s="554"/>
      <c r="U2" s="17"/>
      <c r="V2" s="560" t="s">
        <v>138</v>
      </c>
      <c r="W2" s="568"/>
      <c r="X2" s="568"/>
      <c r="Y2" s="561"/>
      <c r="AA2" s="560" t="s">
        <v>139</v>
      </c>
      <c r="AB2" s="568"/>
      <c r="AC2" s="568"/>
      <c r="AD2" s="561"/>
    </row>
    <row r="3" spans="2:33" x14ac:dyDescent="0.25">
      <c r="B3" s="551" t="s">
        <v>15</v>
      </c>
      <c r="C3" s="552"/>
      <c r="D3" s="3"/>
      <c r="E3" s="558" t="s">
        <v>26</v>
      </c>
      <c r="F3" s="559"/>
      <c r="H3" s="14" t="s">
        <v>53</v>
      </c>
      <c r="I3" s="7">
        <v>5.2</v>
      </c>
      <c r="J3" s="37"/>
      <c r="K3" s="37"/>
      <c r="L3" s="139" t="s">
        <v>182</v>
      </c>
      <c r="M3" s="140">
        <v>5.2</v>
      </c>
      <c r="N3" s="141"/>
      <c r="P3" s="551" t="s">
        <v>15</v>
      </c>
      <c r="Q3" s="552"/>
      <c r="S3" s="558" t="s">
        <v>61</v>
      </c>
      <c r="T3" s="559"/>
      <c r="U3" s="17"/>
      <c r="V3" s="14" t="s">
        <v>53</v>
      </c>
      <c r="W3" s="7">
        <v>5.2</v>
      </c>
      <c r="X3" s="91" t="s">
        <v>24</v>
      </c>
      <c r="Y3" s="7">
        <v>2.9</v>
      </c>
      <c r="AA3" s="5" t="s">
        <v>140</v>
      </c>
      <c r="AB3" s="4">
        <v>3.9</v>
      </c>
      <c r="AC3" s="91" t="s">
        <v>24</v>
      </c>
      <c r="AD3" s="7">
        <v>2.9</v>
      </c>
    </row>
    <row r="4" spans="2:33" x14ac:dyDescent="0.25">
      <c r="B4" s="2" t="s">
        <v>6</v>
      </c>
      <c r="C4" s="4">
        <v>5.3</v>
      </c>
      <c r="D4" s="4"/>
      <c r="E4" s="1" t="s">
        <v>27</v>
      </c>
      <c r="F4" s="7">
        <v>0.08</v>
      </c>
      <c r="H4" s="2" t="s">
        <v>54</v>
      </c>
      <c r="I4" s="4">
        <v>3.9</v>
      </c>
      <c r="J4" s="37"/>
      <c r="K4" s="18"/>
      <c r="L4" s="142" t="s">
        <v>183</v>
      </c>
      <c r="M4" s="143">
        <v>3.5</v>
      </c>
      <c r="N4" s="141"/>
      <c r="P4" s="2" t="s">
        <v>6</v>
      </c>
      <c r="Q4" s="4">
        <v>1.2</v>
      </c>
      <c r="S4" s="1" t="s">
        <v>27</v>
      </c>
      <c r="T4" s="7">
        <v>0.04</v>
      </c>
      <c r="U4" s="18"/>
      <c r="V4" s="2" t="s">
        <v>54</v>
      </c>
      <c r="W4" s="4">
        <v>3.9</v>
      </c>
      <c r="X4" s="92" t="s">
        <v>23</v>
      </c>
      <c r="Y4" s="4">
        <v>0.3</v>
      </c>
      <c r="AA4" s="2" t="s">
        <v>141</v>
      </c>
      <c r="AB4" s="4">
        <v>5.2</v>
      </c>
      <c r="AC4" s="92" t="s">
        <v>23</v>
      </c>
      <c r="AD4" s="4">
        <v>0.3</v>
      </c>
    </row>
    <row r="5" spans="2:33" x14ac:dyDescent="0.25">
      <c r="B5" s="2" t="s">
        <v>307</v>
      </c>
      <c r="C5" s="4">
        <v>0.24</v>
      </c>
      <c r="D5" s="31">
        <f>C4/25</f>
        <v>0.21199999999999999</v>
      </c>
      <c r="E5" s="2" t="s">
        <v>28</v>
      </c>
      <c r="F5" s="4">
        <v>4.57</v>
      </c>
      <c r="H5" s="2" t="s">
        <v>56</v>
      </c>
      <c r="I5" s="4">
        <v>1</v>
      </c>
      <c r="J5" s="37"/>
      <c r="K5" s="18"/>
      <c r="L5" s="142" t="s">
        <v>56</v>
      </c>
      <c r="M5" s="143">
        <v>1</v>
      </c>
      <c r="N5" s="141"/>
      <c r="P5" s="2" t="s">
        <v>5</v>
      </c>
      <c r="Q5" s="4">
        <f>Q4/8</f>
        <v>0.15</v>
      </c>
      <c r="S5" s="2" t="s">
        <v>28</v>
      </c>
      <c r="T5" s="4">
        <v>18</v>
      </c>
      <c r="U5" s="18"/>
      <c r="V5" s="5" t="s">
        <v>59</v>
      </c>
      <c r="W5" s="4">
        <v>4.8</v>
      </c>
      <c r="X5" s="92" t="s">
        <v>27</v>
      </c>
      <c r="Y5" s="4">
        <v>0.7</v>
      </c>
      <c r="AA5" s="2" t="s">
        <v>56</v>
      </c>
      <c r="AB5" s="4">
        <v>1</v>
      </c>
      <c r="AC5" s="92" t="s">
        <v>27</v>
      </c>
      <c r="AD5" s="4">
        <v>0.7</v>
      </c>
    </row>
    <row r="6" spans="2:33" x14ac:dyDescent="0.25">
      <c r="B6" s="551" t="s">
        <v>14</v>
      </c>
      <c r="C6" s="552"/>
      <c r="E6" s="11" t="s">
        <v>18</v>
      </c>
      <c r="F6" s="72">
        <f>F4*F5*1</f>
        <v>0.36560000000000004</v>
      </c>
      <c r="H6" s="33" t="s">
        <v>55</v>
      </c>
      <c r="I6" s="12">
        <v>1.2</v>
      </c>
      <c r="J6" s="37"/>
      <c r="K6" s="18"/>
      <c r="L6" s="144" t="s">
        <v>55</v>
      </c>
      <c r="M6" s="145">
        <v>1.2</v>
      </c>
      <c r="N6" s="141"/>
      <c r="P6" s="551" t="s">
        <v>14</v>
      </c>
      <c r="Q6" s="552"/>
      <c r="S6" s="11" t="s">
        <v>18</v>
      </c>
      <c r="T6" s="12">
        <f>T4*T5*1</f>
        <v>0.72</v>
      </c>
      <c r="U6" s="18"/>
      <c r="V6" s="2" t="s">
        <v>60</v>
      </c>
      <c r="W6" s="4">
        <v>5.2</v>
      </c>
      <c r="X6" s="92" t="s">
        <v>137</v>
      </c>
      <c r="Y6" s="4">
        <v>25</v>
      </c>
      <c r="AA6" s="2" t="s">
        <v>55</v>
      </c>
      <c r="AB6" s="4">
        <v>1.2</v>
      </c>
      <c r="AC6" s="92" t="s">
        <v>137</v>
      </c>
      <c r="AD6" s="4">
        <v>25</v>
      </c>
    </row>
    <row r="7" spans="2:33" x14ac:dyDescent="0.25">
      <c r="B7" s="2" t="s">
        <v>10</v>
      </c>
      <c r="C7" s="4">
        <v>0.04</v>
      </c>
      <c r="E7" s="558" t="s">
        <v>29</v>
      </c>
      <c r="F7" s="559"/>
      <c r="H7" s="34" t="s">
        <v>52</v>
      </c>
      <c r="I7" s="22">
        <f>((I3*I5)+(I4*I6))/2</f>
        <v>4.9399999999999995</v>
      </c>
      <c r="J7" s="18"/>
      <c r="K7" s="18"/>
      <c r="L7" s="146" t="s">
        <v>52</v>
      </c>
      <c r="M7" s="147">
        <f>((M3*M5)+(M4*M6))/2</f>
        <v>4.7</v>
      </c>
      <c r="N7" s="83"/>
      <c r="P7" s="2" t="s">
        <v>10</v>
      </c>
      <c r="Q7" s="4">
        <v>0.04</v>
      </c>
      <c r="S7" s="558" t="s">
        <v>62</v>
      </c>
      <c r="T7" s="559"/>
      <c r="U7" s="17"/>
      <c r="V7" s="2" t="s">
        <v>56</v>
      </c>
      <c r="W7" s="4">
        <v>1</v>
      </c>
      <c r="X7" s="93" t="s">
        <v>135</v>
      </c>
      <c r="Y7" s="94">
        <f>Y3*Y4*Y5*Y6</f>
        <v>15.225</v>
      </c>
      <c r="AA7" s="34" t="s">
        <v>67</v>
      </c>
      <c r="AB7" s="95">
        <f>((AB3*AB5)/2)*((AB4*AB5)/2)</f>
        <v>5.07</v>
      </c>
      <c r="AC7" s="93" t="s">
        <v>135</v>
      </c>
      <c r="AD7" s="351">
        <f>AD3*AD4*AD5*AD6</f>
        <v>15.225</v>
      </c>
    </row>
    <row r="8" spans="2:33" x14ac:dyDescent="0.25">
      <c r="B8" s="5" t="s">
        <v>136</v>
      </c>
      <c r="C8" s="6">
        <v>25</v>
      </c>
      <c r="E8" s="14" t="s">
        <v>27</v>
      </c>
      <c r="F8" s="7">
        <v>0.02</v>
      </c>
      <c r="H8" s="14" t="s">
        <v>57</v>
      </c>
      <c r="I8" s="35">
        <f>(F36)*I7</f>
        <v>33.652663199999992</v>
      </c>
      <c r="J8" s="76">
        <f>(C36+D36)*$I$7+(J36)*I7</f>
        <v>27.938663999999992</v>
      </c>
      <c r="K8" s="69"/>
      <c r="L8" s="139" t="s">
        <v>57</v>
      </c>
      <c r="M8" s="148">
        <f>(F36)*M7</f>
        <v>32.017716</v>
      </c>
      <c r="N8" s="148">
        <f>(C36+D36)*$M$7+(J36)*I7</f>
        <v>26.725319999999996</v>
      </c>
      <c r="P8" s="5" t="s">
        <v>16</v>
      </c>
      <c r="Q8" s="6">
        <v>25</v>
      </c>
      <c r="S8" s="14" t="s">
        <v>27</v>
      </c>
      <c r="T8" s="7">
        <v>0.02</v>
      </c>
      <c r="U8" s="18"/>
      <c r="V8" s="2" t="s">
        <v>55</v>
      </c>
      <c r="W8" s="4">
        <v>1.2</v>
      </c>
      <c r="AE8" s="79"/>
    </row>
    <row r="9" spans="2:33" x14ac:dyDescent="0.25">
      <c r="B9" s="5" t="s">
        <v>18</v>
      </c>
      <c r="C9" s="6">
        <f>C7*C8</f>
        <v>1</v>
      </c>
      <c r="E9" s="5" t="s">
        <v>28</v>
      </c>
      <c r="F9" s="6">
        <v>27</v>
      </c>
      <c r="H9" s="11" t="s">
        <v>58</v>
      </c>
      <c r="I9" s="12">
        <f>G36*I7</f>
        <v>14.819999999999999</v>
      </c>
      <c r="J9" s="60">
        <v>0</v>
      </c>
      <c r="K9" s="18"/>
      <c r="L9" s="149" t="s">
        <v>58</v>
      </c>
      <c r="M9" s="145">
        <f>G36*M7</f>
        <v>14.100000000000001</v>
      </c>
      <c r="N9" s="145">
        <v>0</v>
      </c>
      <c r="P9" s="5" t="s">
        <v>18</v>
      </c>
      <c r="Q9" s="6">
        <v>1</v>
      </c>
      <c r="S9" s="5" t="s">
        <v>28</v>
      </c>
      <c r="T9" s="6">
        <v>22</v>
      </c>
      <c r="U9" s="18"/>
      <c r="V9" s="34" t="s">
        <v>67</v>
      </c>
      <c r="W9" s="95">
        <f>(((W3*W7)+(W4*W8))/2)*(((W5*1)+(5.2*1.1))/2)</f>
        <v>25.984399999999997</v>
      </c>
      <c r="Y9" s="514" t="s">
        <v>529</v>
      </c>
      <c r="Z9" s="162">
        <v>2.9</v>
      </c>
      <c r="AE9" s="80"/>
    </row>
    <row r="10" spans="2:33" x14ac:dyDescent="0.25">
      <c r="B10" s="551" t="s">
        <v>17</v>
      </c>
      <c r="C10" s="552"/>
      <c r="E10" s="5" t="s">
        <v>18</v>
      </c>
      <c r="F10" s="4">
        <f>F8*F9</f>
        <v>0.54</v>
      </c>
      <c r="H10" s="27" t="s">
        <v>76</v>
      </c>
      <c r="I10" s="13">
        <f>I8+I9+H39</f>
        <v>53.28916319999999</v>
      </c>
      <c r="J10" s="84">
        <f>J8+J9+F39</f>
        <v>32.755163999999994</v>
      </c>
      <c r="K10" s="69"/>
      <c r="L10" s="150" t="s">
        <v>76</v>
      </c>
      <c r="M10" s="151">
        <f>M8+M9+H41</f>
        <v>52.310916000000006</v>
      </c>
      <c r="N10" s="151">
        <f>N8+N9+C41</f>
        <v>31.489319999999996</v>
      </c>
      <c r="P10" s="551" t="s">
        <v>17</v>
      </c>
      <c r="Q10" s="552"/>
      <c r="S10" s="5" t="s">
        <v>18</v>
      </c>
      <c r="T10" s="4">
        <f>T8*T9</f>
        <v>0.44</v>
      </c>
      <c r="U10" s="18"/>
      <c r="AE10" s="79"/>
    </row>
    <row r="11" spans="2:33" x14ac:dyDescent="0.25">
      <c r="B11" s="1" t="s">
        <v>7</v>
      </c>
      <c r="C11" s="7">
        <v>0.25</v>
      </c>
      <c r="E11" s="558" t="s">
        <v>30</v>
      </c>
      <c r="F11" s="559"/>
      <c r="H11" s="5"/>
      <c r="J11" s="70"/>
      <c r="K11" s="39"/>
      <c r="L11" s="86"/>
      <c r="M11" s="87"/>
      <c r="N11" s="88"/>
      <c r="P11" s="1" t="s">
        <v>7</v>
      </c>
      <c r="Q11" s="7">
        <v>0.25</v>
      </c>
      <c r="S11" s="558" t="s">
        <v>30</v>
      </c>
      <c r="T11" s="559"/>
      <c r="U11" s="17"/>
      <c r="V11" s="546" t="s">
        <v>461</v>
      </c>
      <c r="W11" s="547"/>
      <c r="X11" s="547"/>
      <c r="Y11" s="548"/>
      <c r="Z11" s="546" t="s">
        <v>462</v>
      </c>
      <c r="AA11" s="547"/>
      <c r="AB11" s="547"/>
      <c r="AC11" s="548"/>
      <c r="AD11" s="546" t="s">
        <v>463</v>
      </c>
      <c r="AE11" s="547"/>
      <c r="AF11" s="547"/>
      <c r="AG11" s="548"/>
    </row>
    <row r="12" spans="2:33" x14ac:dyDescent="0.25">
      <c r="B12" s="2" t="s">
        <v>8</v>
      </c>
      <c r="C12" s="4">
        <v>0.04</v>
      </c>
      <c r="E12" s="5" t="s">
        <v>27</v>
      </c>
      <c r="F12" s="4">
        <v>1.4999999999999999E-2</v>
      </c>
      <c r="H12" s="546" t="s">
        <v>77</v>
      </c>
      <c r="I12" s="548"/>
      <c r="J12" s="17"/>
      <c r="K12" s="17"/>
      <c r="L12" s="563" t="s">
        <v>181</v>
      </c>
      <c r="M12" s="564"/>
      <c r="N12" s="62"/>
      <c r="P12" s="2" t="s">
        <v>8</v>
      </c>
      <c r="Q12" s="4">
        <v>0.04</v>
      </c>
      <c r="S12" s="5" t="s">
        <v>27</v>
      </c>
      <c r="T12" s="4">
        <v>1.4999999999999999E-2</v>
      </c>
      <c r="U12" s="18"/>
      <c r="V12" s="56" t="s">
        <v>66</v>
      </c>
      <c r="W12" s="56" t="s">
        <v>300</v>
      </c>
      <c r="X12" s="56" t="s">
        <v>27</v>
      </c>
      <c r="Y12" s="56" t="s">
        <v>135</v>
      </c>
      <c r="Z12" s="438" t="s">
        <v>66</v>
      </c>
      <c r="AA12" s="438" t="s">
        <v>300</v>
      </c>
      <c r="AB12" s="438" t="s">
        <v>27</v>
      </c>
      <c r="AC12" s="438" t="s">
        <v>135</v>
      </c>
      <c r="AD12" s="438" t="s">
        <v>66</v>
      </c>
      <c r="AE12" s="438" t="s">
        <v>300</v>
      </c>
      <c r="AF12" s="438" t="s">
        <v>27</v>
      </c>
      <c r="AG12" s="438" t="s">
        <v>135</v>
      </c>
    </row>
    <row r="13" spans="2:33" x14ac:dyDescent="0.25">
      <c r="B13" s="2" t="s">
        <v>9</v>
      </c>
      <c r="C13" s="4">
        <v>0.33</v>
      </c>
      <c r="E13" s="5" t="s">
        <v>28</v>
      </c>
      <c r="F13" s="4">
        <v>20</v>
      </c>
      <c r="H13" s="1" t="s">
        <v>36</v>
      </c>
      <c r="I13" s="7">
        <v>5.2</v>
      </c>
      <c r="K13" s="39"/>
      <c r="L13" s="327" t="s">
        <v>36</v>
      </c>
      <c r="M13" s="140">
        <v>5.3</v>
      </c>
      <c r="N13" s="62"/>
      <c r="P13" s="2" t="s">
        <v>9</v>
      </c>
      <c r="Q13" s="4">
        <v>0.33</v>
      </c>
      <c r="S13" s="5" t="s">
        <v>28</v>
      </c>
      <c r="T13" s="4">
        <v>20</v>
      </c>
      <c r="U13" s="18"/>
      <c r="V13" s="56">
        <v>25</v>
      </c>
      <c r="W13" s="56">
        <v>0.3</v>
      </c>
      <c r="X13" s="56">
        <v>0.7</v>
      </c>
      <c r="Y13" s="116">
        <f>V13*W13*X13*(3.6-0.7)</f>
        <v>15.225000000000001</v>
      </c>
      <c r="Z13" s="438">
        <v>25</v>
      </c>
      <c r="AA13" s="438">
        <v>0.3</v>
      </c>
      <c r="AB13" s="438">
        <v>0.7</v>
      </c>
      <c r="AC13" s="116">
        <f>Z13*AA13*AB13*(3.2-0.7)</f>
        <v>13.125</v>
      </c>
      <c r="AD13" s="438">
        <v>25</v>
      </c>
      <c r="AE13" s="438">
        <v>0.3</v>
      </c>
      <c r="AF13" s="438">
        <v>0.7</v>
      </c>
      <c r="AG13" s="116">
        <f>AD13*AE13*AF13*(3.2-0.6)</f>
        <v>13.65</v>
      </c>
    </row>
    <row r="14" spans="2:33" x14ac:dyDescent="0.25">
      <c r="B14" s="2" t="s">
        <v>10</v>
      </c>
      <c r="C14" s="4">
        <v>0.4</v>
      </c>
      <c r="E14" s="5" t="s">
        <v>18</v>
      </c>
      <c r="F14" s="4">
        <f>F12*F13</f>
        <v>0.3</v>
      </c>
      <c r="H14" s="2" t="s">
        <v>37</v>
      </c>
      <c r="I14" s="74">
        <f>I10</f>
        <v>53.28916319999999</v>
      </c>
      <c r="K14" s="39"/>
      <c r="L14" s="329" t="s">
        <v>37</v>
      </c>
      <c r="M14" s="330">
        <f>M10</f>
        <v>52.310916000000006</v>
      </c>
      <c r="N14" s="62"/>
      <c r="P14" s="2" t="s">
        <v>10</v>
      </c>
      <c r="Q14" s="4">
        <v>0.4</v>
      </c>
      <c r="S14" s="5" t="s">
        <v>18</v>
      </c>
      <c r="T14" s="4">
        <f>T12*T13</f>
        <v>0.3</v>
      </c>
      <c r="U14" s="18"/>
      <c r="AE14" s="81"/>
    </row>
    <row r="15" spans="2:33" x14ac:dyDescent="0.25">
      <c r="B15" s="2" t="s">
        <v>11</v>
      </c>
      <c r="C15" s="4">
        <v>0.18</v>
      </c>
      <c r="E15" s="9" t="s">
        <v>31</v>
      </c>
      <c r="F15" s="13">
        <f>F6+F10+F14</f>
        <v>1.2056</v>
      </c>
      <c r="H15" s="2" t="s">
        <v>38</v>
      </c>
      <c r="I15" s="74">
        <f>J10</f>
        <v>32.755163999999994</v>
      </c>
      <c r="K15" s="39"/>
      <c r="L15" s="142" t="s">
        <v>38</v>
      </c>
      <c r="M15" s="328">
        <f>N10</f>
        <v>31.489319999999996</v>
      </c>
      <c r="N15" s="62"/>
      <c r="P15" s="2" t="s">
        <v>11</v>
      </c>
      <c r="Q15" s="4">
        <v>0.18</v>
      </c>
      <c r="S15" s="9" t="s">
        <v>31</v>
      </c>
      <c r="T15" s="13">
        <f>T6+T10+T14</f>
        <v>1.46</v>
      </c>
      <c r="U15" s="69"/>
      <c r="V15" s="546" t="s">
        <v>465</v>
      </c>
      <c r="W15" s="547"/>
      <c r="X15" s="547"/>
      <c r="Y15" s="548"/>
      <c r="Z15" s="546" t="s">
        <v>301</v>
      </c>
      <c r="AA15" s="547"/>
      <c r="AB15" s="547"/>
      <c r="AC15" s="548"/>
      <c r="AE15" s="81"/>
    </row>
    <row r="16" spans="2:33" x14ac:dyDescent="0.25">
      <c r="B16" s="2" t="s">
        <v>19</v>
      </c>
      <c r="C16" s="4">
        <v>7.5999999999999998E-2</v>
      </c>
      <c r="H16" s="23" t="s">
        <v>130</v>
      </c>
      <c r="I16" s="78">
        <f>I14*(I13^2)/10</f>
        <v>144.09389729279999</v>
      </c>
      <c r="K16" s="39"/>
      <c r="L16" s="314" t="s">
        <v>39</v>
      </c>
      <c r="M16" s="315">
        <f>M14*(M13^2)/10</f>
        <v>146.94136304400001</v>
      </c>
      <c r="N16" s="62"/>
      <c r="P16" s="2" t="s">
        <v>19</v>
      </c>
      <c r="Q16" s="4">
        <v>7.5999999999999998E-2</v>
      </c>
      <c r="U16" s="70"/>
      <c r="V16" s="438" t="s">
        <v>66</v>
      </c>
      <c r="W16" s="438" t="s">
        <v>300</v>
      </c>
      <c r="X16" s="438" t="s">
        <v>27</v>
      </c>
      <c r="Y16" s="438" t="s">
        <v>135</v>
      </c>
      <c r="Z16" s="56" t="s">
        <v>66</v>
      </c>
      <c r="AA16" s="56" t="s">
        <v>300</v>
      </c>
      <c r="AB16" s="56" t="s">
        <v>27</v>
      </c>
      <c r="AC16" s="56" t="s">
        <v>135</v>
      </c>
      <c r="AE16" s="81"/>
    </row>
    <row r="17" spans="2:31" x14ac:dyDescent="0.25">
      <c r="B17" s="5" t="s">
        <v>12</v>
      </c>
      <c r="C17" s="6">
        <v>25</v>
      </c>
      <c r="E17" s="546" t="s">
        <v>33</v>
      </c>
      <c r="F17" s="548"/>
      <c r="H17" s="19" t="s">
        <v>131</v>
      </c>
      <c r="I17" s="40">
        <f>I15*(I13^2)/10</f>
        <v>88.569963455999996</v>
      </c>
      <c r="J17" s="69"/>
      <c r="K17" s="69"/>
      <c r="L17" s="331" t="s">
        <v>40</v>
      </c>
      <c r="M17" s="332">
        <f>M15*(M13^2)/10</f>
        <v>88.453499879999995</v>
      </c>
      <c r="N17" s="62"/>
      <c r="P17" s="5" t="s">
        <v>12</v>
      </c>
      <c r="Q17" s="6">
        <v>25</v>
      </c>
      <c r="U17" s="70"/>
      <c r="V17" s="438">
        <v>25</v>
      </c>
      <c r="W17" s="438">
        <v>0.3</v>
      </c>
      <c r="X17" s="438">
        <v>0.5</v>
      </c>
      <c r="Y17" s="116">
        <f>V17*W17*X17*(3.2-0.5)</f>
        <v>10.125</v>
      </c>
      <c r="Z17" s="56">
        <v>25</v>
      </c>
      <c r="AA17" s="56">
        <v>0.3</v>
      </c>
      <c r="AB17" s="56">
        <v>0.5</v>
      </c>
      <c r="AC17" s="116">
        <f>Z17*AA17*AB17*(3.2-0.5)</f>
        <v>10.125</v>
      </c>
      <c r="AE17" s="81"/>
    </row>
    <row r="18" spans="2:31" x14ac:dyDescent="0.25">
      <c r="B18" s="5" t="s">
        <v>20</v>
      </c>
      <c r="C18" s="6">
        <v>7.5</v>
      </c>
      <c r="E18" s="2" t="s">
        <v>34</v>
      </c>
      <c r="F18" s="4">
        <v>0.2</v>
      </c>
      <c r="H18" s="14" t="s">
        <v>41</v>
      </c>
      <c r="I18" s="20">
        <v>0.3</v>
      </c>
      <c r="J18" s="481"/>
      <c r="K18" s="18"/>
      <c r="L18" s="139" t="s">
        <v>41</v>
      </c>
      <c r="M18" s="333">
        <v>0.24</v>
      </c>
      <c r="N18" s="82"/>
      <c r="P18" s="5" t="s">
        <v>20</v>
      </c>
      <c r="Q18" s="6">
        <v>7.5</v>
      </c>
      <c r="AE18" s="81"/>
    </row>
    <row r="19" spans="2:31" x14ac:dyDescent="0.25">
      <c r="B19" s="5" t="s">
        <v>18</v>
      </c>
      <c r="C19" s="6">
        <f>C16*C18</f>
        <v>0.56999999999999995</v>
      </c>
      <c r="E19" s="2" t="s">
        <v>24</v>
      </c>
      <c r="F19" s="4">
        <f>I32-0.3</f>
        <v>2.9000000000000004</v>
      </c>
      <c r="H19" s="5" t="s">
        <v>42</v>
      </c>
      <c r="I19" s="4">
        <v>0.04</v>
      </c>
      <c r="J19" s="482"/>
      <c r="K19" s="18"/>
      <c r="L19" s="334" t="s">
        <v>42</v>
      </c>
      <c r="M19" s="143">
        <v>0.04</v>
      </c>
      <c r="N19" s="82"/>
      <c r="P19" s="11" t="s">
        <v>18</v>
      </c>
      <c r="Q19" s="36">
        <v>0.56999999999999995</v>
      </c>
      <c r="V19" s="15"/>
      <c r="W19" s="555" t="s">
        <v>143</v>
      </c>
      <c r="X19" s="556"/>
      <c r="Y19" s="557"/>
      <c r="AA19" s="15"/>
      <c r="AB19" s="555" t="s">
        <v>142</v>
      </c>
      <c r="AC19" s="556"/>
      <c r="AD19" s="557"/>
      <c r="AE19" s="81"/>
    </row>
    <row r="20" spans="2:31" x14ac:dyDescent="0.25">
      <c r="B20" s="551" t="s">
        <v>21</v>
      </c>
      <c r="C20" s="552"/>
      <c r="E20" s="2" t="s">
        <v>35</v>
      </c>
      <c r="F20" s="4">
        <v>6</v>
      </c>
      <c r="H20" s="5" t="s">
        <v>43</v>
      </c>
      <c r="I20" s="6">
        <v>0.02</v>
      </c>
      <c r="J20" s="481"/>
      <c r="K20" s="18"/>
      <c r="L20" s="334" t="s">
        <v>43</v>
      </c>
      <c r="M20" s="335">
        <v>0.02</v>
      </c>
      <c r="N20" s="82"/>
      <c r="P20" s="551" t="s">
        <v>21</v>
      </c>
      <c r="Q20" s="552"/>
      <c r="V20" s="15"/>
      <c r="W20" s="43" t="s">
        <v>70</v>
      </c>
      <c r="X20" s="43" t="s">
        <v>68</v>
      </c>
      <c r="Y20" s="43" t="s">
        <v>69</v>
      </c>
      <c r="AA20" s="15"/>
      <c r="AB20" s="43" t="s">
        <v>70</v>
      </c>
      <c r="AC20" s="43" t="s">
        <v>68</v>
      </c>
      <c r="AD20" s="43" t="s">
        <v>69</v>
      </c>
      <c r="AE20" s="70"/>
    </row>
    <row r="21" spans="2:31" x14ac:dyDescent="0.25">
      <c r="B21" s="5" t="s">
        <v>22</v>
      </c>
      <c r="C21" s="6">
        <v>3</v>
      </c>
      <c r="E21" s="5" t="s">
        <v>18</v>
      </c>
      <c r="F21" s="4">
        <f>F18*F19*F20*1</f>
        <v>3.4800000000000004</v>
      </c>
      <c r="H21" s="11" t="s">
        <v>44</v>
      </c>
      <c r="I21" s="73">
        <f>(I20^2)*I17/(I18-I19)^2</f>
        <v>0.52408262399999994</v>
      </c>
      <c r="J21" s="483"/>
      <c r="K21" s="69"/>
      <c r="L21" s="149" t="s">
        <v>64</v>
      </c>
      <c r="M21" s="336">
        <f>(M20^2)*M17/(M18-M19)^2</f>
        <v>0.88453499880000019</v>
      </c>
      <c r="N21" s="82"/>
      <c r="P21" s="5" t="s">
        <v>22</v>
      </c>
      <c r="Q21" s="6">
        <v>3</v>
      </c>
      <c r="V21" s="24" t="s">
        <v>75</v>
      </c>
      <c r="W21" s="41">
        <f>W9</f>
        <v>25.984399999999997</v>
      </c>
      <c r="X21" s="41">
        <f>H36*W21</f>
        <v>254.96620843199995</v>
      </c>
      <c r="Y21" s="35">
        <f>K36*W21</f>
        <v>146.95737263999996</v>
      </c>
      <c r="AA21" s="24" t="s">
        <v>75</v>
      </c>
      <c r="AB21" s="41">
        <f>AB7</f>
        <v>5.07</v>
      </c>
      <c r="AC21" s="41">
        <f>H36*AB21</f>
        <v>49.748259599999997</v>
      </c>
      <c r="AD21" s="35">
        <f>K36*AB21</f>
        <v>28.673891999999995</v>
      </c>
      <c r="AE21" s="70"/>
    </row>
    <row r="22" spans="2:31" x14ac:dyDescent="0.25">
      <c r="B22" s="5" t="s">
        <v>23</v>
      </c>
      <c r="C22" s="6">
        <v>0.08</v>
      </c>
      <c r="E22" s="558" t="s">
        <v>30</v>
      </c>
      <c r="F22" s="559"/>
      <c r="H22" s="21" t="s">
        <v>45</v>
      </c>
      <c r="I22" s="22" t="s">
        <v>46</v>
      </c>
      <c r="J22" s="484" t="s">
        <v>65</v>
      </c>
      <c r="K22" s="484" t="s">
        <v>129</v>
      </c>
      <c r="L22" s="337" t="s">
        <v>45</v>
      </c>
      <c r="M22" s="147" t="s">
        <v>308</v>
      </c>
      <c r="N22" s="324"/>
      <c r="P22" s="5" t="s">
        <v>23</v>
      </c>
      <c r="Q22" s="6">
        <v>0.08</v>
      </c>
      <c r="V22" s="24" t="s">
        <v>71</v>
      </c>
      <c r="W22" s="37">
        <f>W3*W7/2</f>
        <v>2.6</v>
      </c>
      <c r="X22" s="68">
        <f>F39*W22</f>
        <v>12.522900000000002</v>
      </c>
      <c r="Y22" s="74">
        <f>K39*W22</f>
        <v>9.6330000000000009</v>
      </c>
      <c r="AA22" s="24" t="s">
        <v>140</v>
      </c>
      <c r="AB22" s="37">
        <f>AB3*AB5/2</f>
        <v>1.95</v>
      </c>
      <c r="AC22" s="68">
        <f>H39*AB22</f>
        <v>9.3921749999999999</v>
      </c>
      <c r="AD22" s="74">
        <f>K39*AB22</f>
        <v>7.2247500000000002</v>
      </c>
    </row>
    <row r="23" spans="2:31" x14ac:dyDescent="0.25">
      <c r="B23" s="5" t="s">
        <v>24</v>
      </c>
      <c r="C23" s="6">
        <v>0.18</v>
      </c>
      <c r="E23" s="5" t="s">
        <v>27</v>
      </c>
      <c r="F23" s="4">
        <v>0.04</v>
      </c>
      <c r="H23" s="1" t="s">
        <v>27</v>
      </c>
      <c r="I23" s="20">
        <v>0.6</v>
      </c>
      <c r="J23" s="485">
        <v>0.7</v>
      </c>
      <c r="K23" s="18">
        <v>0.5</v>
      </c>
      <c r="L23" s="327" t="s">
        <v>47</v>
      </c>
      <c r="M23" s="333">
        <v>0.9</v>
      </c>
      <c r="N23" s="324"/>
      <c r="P23" s="5" t="s">
        <v>24</v>
      </c>
      <c r="Q23" s="6">
        <v>0.18</v>
      </c>
      <c r="V23" s="24" t="s">
        <v>72</v>
      </c>
      <c r="W23" s="37">
        <f>W4*W7/2</f>
        <v>1.95</v>
      </c>
      <c r="X23" s="68">
        <f>F39*W23</f>
        <v>9.3921749999999999</v>
      </c>
      <c r="Y23" s="74">
        <f>K39*W23</f>
        <v>7.2247500000000002</v>
      </c>
      <c r="AA23" s="24" t="s">
        <v>141</v>
      </c>
      <c r="AB23" s="37">
        <f>AB4*AB5/2</f>
        <v>2.6</v>
      </c>
      <c r="AC23" s="68">
        <f>H39*AB23</f>
        <v>12.522900000000002</v>
      </c>
      <c r="AD23" s="74">
        <f>K39*AB23</f>
        <v>9.6330000000000009</v>
      </c>
    </row>
    <row r="24" spans="2:31" x14ac:dyDescent="0.25">
      <c r="B24" s="5" t="s">
        <v>16</v>
      </c>
      <c r="C24" s="6">
        <v>25</v>
      </c>
      <c r="E24" s="2" t="s">
        <v>24</v>
      </c>
      <c r="F24" s="4">
        <f>I32-0.3</f>
        <v>2.9000000000000004</v>
      </c>
      <c r="H24" s="2" t="s">
        <v>24</v>
      </c>
      <c r="I24" s="6">
        <v>0.3</v>
      </c>
      <c r="J24" s="486">
        <v>0.3</v>
      </c>
      <c r="K24" s="486">
        <v>0.3</v>
      </c>
      <c r="L24" s="142" t="s">
        <v>24</v>
      </c>
      <c r="M24" s="335">
        <v>0.24</v>
      </c>
      <c r="N24" s="324"/>
      <c r="P24" s="5" t="s">
        <v>16</v>
      </c>
      <c r="Q24" s="6">
        <v>25</v>
      </c>
      <c r="V24" s="24" t="s">
        <v>73</v>
      </c>
      <c r="W24" s="37">
        <f>W5*W8/2</f>
        <v>2.88</v>
      </c>
      <c r="X24" s="68">
        <f>F41*W24</f>
        <v>17.836416000000003</v>
      </c>
      <c r="Y24" s="74">
        <f>W24*K41</f>
        <v>13.720320000000001</v>
      </c>
      <c r="AA24" s="549" t="s">
        <v>133</v>
      </c>
      <c r="AB24" s="550"/>
      <c r="AC24" s="75">
        <f>AC21+AC22+AC23</f>
        <v>71.663334599999999</v>
      </c>
      <c r="AD24" s="76">
        <f>AD21+AD22+AD23</f>
        <v>45.531641999999998</v>
      </c>
    </row>
    <row r="25" spans="2:31" x14ac:dyDescent="0.25">
      <c r="B25" s="8" t="s">
        <v>18</v>
      </c>
      <c r="C25" s="4">
        <f>C21*C22*C23*C24*1</f>
        <v>1.0799999999999998</v>
      </c>
      <c r="E25" s="2" t="s">
        <v>35</v>
      </c>
      <c r="F25" s="4">
        <v>20</v>
      </c>
      <c r="H25" s="2" t="s">
        <v>66</v>
      </c>
      <c r="I25" s="6">
        <v>25</v>
      </c>
      <c r="J25" s="486">
        <v>25</v>
      </c>
      <c r="K25" s="486">
        <v>25</v>
      </c>
      <c r="L25" s="142" t="s">
        <v>48</v>
      </c>
      <c r="M25" s="335">
        <v>25</v>
      </c>
      <c r="N25" s="324"/>
      <c r="P25" s="8" t="s">
        <v>18</v>
      </c>
      <c r="Q25" s="4">
        <f>Q21*Q22*Q23*Q24*1</f>
        <v>1.0799999999999998</v>
      </c>
      <c r="V25" s="44" t="s">
        <v>74</v>
      </c>
      <c r="W25" s="37">
        <f>W6*W7/2</f>
        <v>2.6</v>
      </c>
      <c r="X25" s="68">
        <f>F39*W25</f>
        <v>12.522900000000002</v>
      </c>
      <c r="Y25" s="74">
        <f>K39*W25</f>
        <v>9.6330000000000009</v>
      </c>
      <c r="Z25" s="81"/>
      <c r="AA25" s="553" t="s">
        <v>134</v>
      </c>
      <c r="AB25" s="554"/>
      <c r="AC25" s="96">
        <f>AC24+AD7</f>
        <v>86.888334599999993</v>
      </c>
      <c r="AD25" s="97">
        <f>AD24+AD7</f>
        <v>60.756641999999999</v>
      </c>
    </row>
    <row r="26" spans="2:31" x14ac:dyDescent="0.25">
      <c r="B26" s="9" t="s">
        <v>31</v>
      </c>
      <c r="C26" s="10">
        <f>C9+C19+C25</f>
        <v>2.6499999999999995</v>
      </c>
      <c r="E26" s="11" t="s">
        <v>18</v>
      </c>
      <c r="F26" s="12">
        <f>F23*F24*F25*1</f>
        <v>2.3200000000000003</v>
      </c>
      <c r="H26" s="5" t="s">
        <v>18</v>
      </c>
      <c r="I26" s="4">
        <f>I23*I24*I25</f>
        <v>4.5</v>
      </c>
      <c r="J26" s="487">
        <f>J23*J24*J25</f>
        <v>5.25</v>
      </c>
      <c r="K26" s="487">
        <f>K23*J24*J25</f>
        <v>3.75</v>
      </c>
      <c r="L26" s="334" t="s">
        <v>18</v>
      </c>
      <c r="M26" s="143">
        <f>M23*M24*M25</f>
        <v>5.4</v>
      </c>
      <c r="N26" s="324"/>
      <c r="P26" s="9" t="s">
        <v>31</v>
      </c>
      <c r="Q26" s="10">
        <f>Q9+Q19+Q25</f>
        <v>2.6499999999999995</v>
      </c>
      <c r="V26" s="549" t="s">
        <v>133</v>
      </c>
      <c r="W26" s="550"/>
      <c r="X26" s="75">
        <f>X21+X22+X23+X24+X25</f>
        <v>307.24059943199995</v>
      </c>
      <c r="Y26" s="76">
        <f>Y21+Y22+Y23+Y24+Y25</f>
        <v>187.16844263999999</v>
      </c>
      <c r="Z26" s="81"/>
    </row>
    <row r="27" spans="2:31" x14ac:dyDescent="0.25">
      <c r="E27" s="27" t="s">
        <v>51</v>
      </c>
      <c r="F27" s="28">
        <f>F21+F26</f>
        <v>5.8000000000000007</v>
      </c>
      <c r="H27" s="25" t="s">
        <v>50</v>
      </c>
      <c r="I27" s="26">
        <f>C26</f>
        <v>2.6499999999999995</v>
      </c>
      <c r="J27" s="488">
        <f>C26</f>
        <v>2.6499999999999995</v>
      </c>
      <c r="K27" s="488">
        <f>C26</f>
        <v>2.6499999999999995</v>
      </c>
      <c r="L27" s="25" t="s">
        <v>50</v>
      </c>
      <c r="M27" s="26">
        <f>Q26</f>
        <v>2.6499999999999995</v>
      </c>
      <c r="N27" s="324"/>
      <c r="V27" s="553" t="s">
        <v>134</v>
      </c>
      <c r="W27" s="554"/>
      <c r="X27" s="96">
        <f>X26+Y7</f>
        <v>322.46559943199998</v>
      </c>
      <c r="Y27" s="97">
        <f>Y26+Y7</f>
        <v>202.39344263999999</v>
      </c>
      <c r="Z27" s="81"/>
    </row>
    <row r="28" spans="2:31" x14ac:dyDescent="0.25">
      <c r="E28" s="38"/>
      <c r="F28" s="38"/>
      <c r="H28" s="5" t="s">
        <v>49</v>
      </c>
      <c r="I28" s="74">
        <f>I24*1*I27</f>
        <v>0.79499999999999982</v>
      </c>
      <c r="J28" s="489">
        <f>J24*1*J27</f>
        <v>0.79499999999999982</v>
      </c>
      <c r="K28" s="489">
        <f>K24*1*K27</f>
        <v>0.79499999999999982</v>
      </c>
      <c r="L28" s="334" t="s">
        <v>49</v>
      </c>
      <c r="M28" s="328">
        <f>M24*1*M27</f>
        <v>0.6359999999999999</v>
      </c>
      <c r="N28" s="325"/>
      <c r="Y28" s="82"/>
      <c r="Z28" s="81"/>
    </row>
    <row r="29" spans="2:31" x14ac:dyDescent="0.25">
      <c r="E29" s="15"/>
      <c r="F29" s="39"/>
      <c r="H29" s="27" t="s">
        <v>51</v>
      </c>
      <c r="I29" s="84">
        <f>I26-I28</f>
        <v>3.7050000000000001</v>
      </c>
      <c r="J29" s="516">
        <f>J26-J28</f>
        <v>4.4550000000000001</v>
      </c>
      <c r="K29" s="516">
        <f>K26-J28</f>
        <v>2.9550000000000001</v>
      </c>
      <c r="L29" s="150" t="s">
        <v>51</v>
      </c>
      <c r="M29" s="516">
        <f>M26-M28</f>
        <v>4.7640000000000002</v>
      </c>
      <c r="N29" s="326"/>
      <c r="Y29" s="81"/>
      <c r="Z29" s="81"/>
    </row>
    <row r="30" spans="2:31" x14ac:dyDescent="0.25">
      <c r="E30" s="39"/>
      <c r="F30" s="39"/>
      <c r="I30" s="29"/>
      <c r="J30" s="18"/>
      <c r="K30" s="18"/>
      <c r="O30" s="3" t="s">
        <v>78</v>
      </c>
      <c r="P30" s="3">
        <v>6</v>
      </c>
      <c r="W30" s="52" t="s">
        <v>144</v>
      </c>
      <c r="X30" s="102" t="s">
        <v>145</v>
      </c>
      <c r="Y30" s="102" t="s">
        <v>146</v>
      </c>
      <c r="Z30" s="82"/>
      <c r="AB30" s="52" t="s">
        <v>144</v>
      </c>
      <c r="AC30" s="102" t="s">
        <v>145</v>
      </c>
      <c r="AD30" s="102" t="s">
        <v>146</v>
      </c>
    </row>
    <row r="31" spans="2:31" x14ac:dyDescent="0.25">
      <c r="E31" s="39"/>
      <c r="F31" s="39"/>
      <c r="J31" s="71"/>
      <c r="K31" s="71"/>
      <c r="O31" s="3" t="s">
        <v>79</v>
      </c>
      <c r="P31" s="3">
        <f>P30/100</f>
        <v>0.06</v>
      </c>
      <c r="V31" s="307">
        <v>1</v>
      </c>
      <c r="W31" s="85">
        <v>7</v>
      </c>
      <c r="X31" s="76">
        <f>X27</f>
        <v>322.46559943199998</v>
      </c>
      <c r="Y31" s="99">
        <f>Y27</f>
        <v>202.39344263999999</v>
      </c>
      <c r="Z31" s="82"/>
      <c r="AA31" s="307">
        <v>1</v>
      </c>
      <c r="AB31" s="85">
        <v>7</v>
      </c>
      <c r="AC31" s="76">
        <f>AC25</f>
        <v>86.888334599999993</v>
      </c>
      <c r="AD31" s="76">
        <f>AD25</f>
        <v>60.756641999999999</v>
      </c>
    </row>
    <row r="32" spans="2:31" x14ac:dyDescent="0.25">
      <c r="E32" s="39"/>
      <c r="F32" s="39"/>
      <c r="H32" s="507" t="s">
        <v>528</v>
      </c>
      <c r="I32">
        <v>3.2</v>
      </c>
      <c r="N32" s="71"/>
      <c r="O32" s="3"/>
      <c r="P32" s="3"/>
      <c r="V32" s="307">
        <v>2</v>
      </c>
      <c r="W32" s="85">
        <v>6</v>
      </c>
      <c r="X32" s="98">
        <f t="shared" ref="X32:X37" si="0">$X$31*V32</f>
        <v>644.93119886399995</v>
      </c>
      <c r="Y32" s="100">
        <f t="shared" ref="Y32:Y37" si="1">$Y$31*V32</f>
        <v>404.78688527999998</v>
      </c>
      <c r="Z32" s="82"/>
      <c r="AA32" s="307">
        <v>2</v>
      </c>
      <c r="AB32" s="85">
        <v>6</v>
      </c>
      <c r="AC32" s="98">
        <f t="shared" ref="AC32:AC37" si="2">$AC$31*AA32</f>
        <v>173.77666919999999</v>
      </c>
      <c r="AD32" s="100">
        <f t="shared" ref="AD32:AD37" si="3">$AD$25*AA32</f>
        <v>121.513284</v>
      </c>
    </row>
    <row r="33" spans="1:30" x14ac:dyDescent="0.25">
      <c r="E33" s="39"/>
      <c r="F33" s="39"/>
      <c r="N33" s="70"/>
      <c r="V33" s="307">
        <v>3</v>
      </c>
      <c r="W33" s="85">
        <v>5</v>
      </c>
      <c r="X33" s="98">
        <f t="shared" si="0"/>
        <v>967.39679829599993</v>
      </c>
      <c r="Y33" s="100">
        <f t="shared" si="1"/>
        <v>607.18032791999997</v>
      </c>
      <c r="Z33" s="82"/>
      <c r="AA33" s="307">
        <v>3</v>
      </c>
      <c r="AB33" s="85">
        <v>5</v>
      </c>
      <c r="AC33" s="98">
        <f t="shared" si="2"/>
        <v>260.66500379999997</v>
      </c>
      <c r="AD33" s="100">
        <f t="shared" si="3"/>
        <v>182.269926</v>
      </c>
    </row>
    <row r="34" spans="1:30" x14ac:dyDescent="0.25">
      <c r="B34" s="295"/>
      <c r="C34" s="295"/>
      <c r="D34" s="18"/>
      <c r="E34" s="295"/>
      <c r="F34" s="295"/>
      <c r="G34" s="295"/>
      <c r="H34" s="295"/>
      <c r="I34" s="89"/>
      <c r="J34" s="296"/>
      <c r="K34" s="296"/>
      <c r="L34" s="90"/>
      <c r="V34" s="307">
        <v>4</v>
      </c>
      <c r="W34" s="85">
        <v>4</v>
      </c>
      <c r="X34" s="98">
        <f t="shared" si="0"/>
        <v>1289.8623977279999</v>
      </c>
      <c r="Y34" s="100">
        <f t="shared" si="1"/>
        <v>809.57377055999996</v>
      </c>
      <c r="Z34" s="82"/>
      <c r="AA34" s="307">
        <v>4</v>
      </c>
      <c r="AB34" s="85">
        <v>4</v>
      </c>
      <c r="AC34" s="98">
        <f t="shared" si="2"/>
        <v>347.55333839999997</v>
      </c>
      <c r="AD34" s="100">
        <f t="shared" si="3"/>
        <v>243.026568</v>
      </c>
    </row>
    <row r="35" spans="1:30" x14ac:dyDescent="0.25">
      <c r="B35" s="310"/>
      <c r="C35" s="102" t="s">
        <v>288</v>
      </c>
      <c r="D35" s="102" t="s">
        <v>289</v>
      </c>
      <c r="E35" s="102" t="s">
        <v>0</v>
      </c>
      <c r="F35" s="102" t="s">
        <v>1</v>
      </c>
      <c r="G35" s="102" t="s">
        <v>2</v>
      </c>
      <c r="H35" s="102" t="s">
        <v>290</v>
      </c>
      <c r="I35" s="312" t="s">
        <v>3</v>
      </c>
      <c r="J35" s="313" t="s">
        <v>4</v>
      </c>
      <c r="K35" s="313" t="s">
        <v>63</v>
      </c>
      <c r="L35" s="69"/>
      <c r="V35" s="307">
        <v>5</v>
      </c>
      <c r="W35" s="85">
        <v>3</v>
      </c>
      <c r="X35" s="98">
        <f t="shared" si="0"/>
        <v>1612.32799716</v>
      </c>
      <c r="Y35" s="100">
        <f t="shared" si="1"/>
        <v>1011.9672131999999</v>
      </c>
      <c r="Z35" s="82"/>
      <c r="AA35" s="307">
        <v>5</v>
      </c>
      <c r="AB35" s="85">
        <v>3</v>
      </c>
      <c r="AC35" s="98">
        <f t="shared" si="2"/>
        <v>434.44167299999998</v>
      </c>
      <c r="AD35" s="100">
        <f t="shared" si="3"/>
        <v>303.78321</v>
      </c>
    </row>
    <row r="36" spans="1:30" x14ac:dyDescent="0.25">
      <c r="B36" s="311" t="s">
        <v>284</v>
      </c>
      <c r="C36" s="99">
        <f>C26+F15</f>
        <v>3.8555999999999995</v>
      </c>
      <c r="D36" s="505">
        <v>1.2</v>
      </c>
      <c r="E36" s="125">
        <v>2</v>
      </c>
      <c r="F36" s="249">
        <f>(C36*1.3)+(D36*1.5)</f>
        <v>6.8122799999999994</v>
      </c>
      <c r="G36" s="125">
        <f>E36*1.5</f>
        <v>3</v>
      </c>
      <c r="H36" s="249">
        <f>F36+G36</f>
        <v>9.8122799999999994</v>
      </c>
      <c r="I36" s="125">
        <v>0.3</v>
      </c>
      <c r="J36" s="505">
        <f>I36*E36</f>
        <v>0.6</v>
      </c>
      <c r="K36" s="99">
        <f>C36+D36+J36</f>
        <v>5.6555999999999989</v>
      </c>
      <c r="V36" s="307">
        <v>6</v>
      </c>
      <c r="W36" s="85">
        <v>2</v>
      </c>
      <c r="X36" s="98">
        <f t="shared" si="0"/>
        <v>1934.7935965919999</v>
      </c>
      <c r="Y36" s="100">
        <f t="shared" si="1"/>
        <v>1214.3606558399999</v>
      </c>
      <c r="Z36" s="82"/>
      <c r="AA36" s="307">
        <v>6</v>
      </c>
      <c r="AB36" s="85">
        <v>2</v>
      </c>
      <c r="AC36" s="98">
        <f t="shared" si="2"/>
        <v>521.33000759999993</v>
      </c>
      <c r="AD36" s="100">
        <f t="shared" si="3"/>
        <v>364.539852</v>
      </c>
    </row>
    <row r="37" spans="1:30" x14ac:dyDescent="0.25">
      <c r="B37" s="311" t="s">
        <v>285</v>
      </c>
      <c r="C37" s="126">
        <f>F27</f>
        <v>5.8000000000000007</v>
      </c>
      <c r="D37" s="504"/>
      <c r="E37" s="126"/>
      <c r="F37" s="506">
        <f>(C37*1.3)+(D37*1.5)</f>
        <v>7.5400000000000009</v>
      </c>
      <c r="G37" s="126"/>
      <c r="H37" s="506">
        <f>F37+G37</f>
        <v>7.5400000000000009</v>
      </c>
      <c r="I37" s="126"/>
      <c r="J37" s="504"/>
      <c r="K37" s="100">
        <f>C37+J37</f>
        <v>5.8000000000000007</v>
      </c>
      <c r="V37" s="159">
        <v>7</v>
      </c>
      <c r="W37" s="60" t="s">
        <v>202</v>
      </c>
      <c r="X37" s="77">
        <f t="shared" si="0"/>
        <v>2257.2591960239997</v>
      </c>
      <c r="Y37" s="101">
        <f t="shared" si="1"/>
        <v>1416.7540984799998</v>
      </c>
      <c r="AA37" s="159">
        <v>7</v>
      </c>
      <c r="AB37" s="60" t="s">
        <v>203</v>
      </c>
      <c r="AC37" s="77">
        <f t="shared" si="2"/>
        <v>608.21834219999994</v>
      </c>
      <c r="AD37" s="101">
        <f t="shared" si="3"/>
        <v>425.296494</v>
      </c>
    </row>
    <row r="38" spans="1:30" x14ac:dyDescent="0.25">
      <c r="A38" s="307" t="s">
        <v>65</v>
      </c>
      <c r="B38" s="311" t="s">
        <v>282</v>
      </c>
      <c r="C38" s="100">
        <f>J29</f>
        <v>4.4550000000000001</v>
      </c>
      <c r="D38" s="504"/>
      <c r="E38" s="126"/>
      <c r="F38" s="506">
        <f>(C38*1.3)+(D38*1.5)</f>
        <v>5.7915000000000001</v>
      </c>
      <c r="G38" s="126"/>
      <c r="H38" s="506">
        <f>F38+G38</f>
        <v>5.7915000000000001</v>
      </c>
      <c r="I38" s="126"/>
      <c r="J38" s="504"/>
      <c r="K38" s="100">
        <f>C38+J38</f>
        <v>4.4550000000000001</v>
      </c>
      <c r="X38" s="103"/>
      <c r="Y38" s="104"/>
      <c r="AC38" s="103"/>
      <c r="AD38" s="104"/>
    </row>
    <row r="39" spans="1:30" x14ac:dyDescent="0.25">
      <c r="A39" s="307" t="s">
        <v>46</v>
      </c>
      <c r="B39" s="311" t="s">
        <v>282</v>
      </c>
      <c r="C39" s="100">
        <f>I29</f>
        <v>3.7050000000000001</v>
      </c>
      <c r="D39" s="504"/>
      <c r="E39" s="126"/>
      <c r="F39" s="506">
        <f>(C39*1.3)+(D39*1.5)</f>
        <v>4.8165000000000004</v>
      </c>
      <c r="G39" s="126"/>
      <c r="H39" s="506">
        <f t="shared" ref="H39:H45" si="4">F39+G39</f>
        <v>4.8165000000000004</v>
      </c>
      <c r="I39" s="126"/>
      <c r="J39" s="504"/>
      <c r="K39" s="100">
        <f t="shared" ref="K39:K45" si="5">C39+J39</f>
        <v>3.7050000000000001</v>
      </c>
    </row>
    <row r="40" spans="1:30" x14ac:dyDescent="0.25">
      <c r="A40" s="307" t="s">
        <v>129</v>
      </c>
      <c r="B40" s="311" t="s">
        <v>282</v>
      </c>
      <c r="C40" s="100">
        <f>K29</f>
        <v>2.9550000000000001</v>
      </c>
      <c r="D40" s="504"/>
      <c r="E40" s="126"/>
      <c r="F40" s="506">
        <f t="shared" ref="F40:F45" si="6">(C40*1.3)+(D40*1.5)</f>
        <v>3.8415000000000004</v>
      </c>
      <c r="G40" s="126"/>
      <c r="H40" s="506">
        <f t="shared" si="4"/>
        <v>3.8415000000000004</v>
      </c>
      <c r="I40" s="126"/>
      <c r="J40" s="504"/>
      <c r="K40" s="100">
        <f t="shared" si="5"/>
        <v>2.9550000000000001</v>
      </c>
    </row>
    <row r="41" spans="1:30" x14ac:dyDescent="0.25">
      <c r="A41" s="307" t="s">
        <v>294</v>
      </c>
      <c r="B41" s="311" t="s">
        <v>283</v>
      </c>
      <c r="C41" s="100">
        <f>M29</f>
        <v>4.7640000000000002</v>
      </c>
      <c r="D41" s="504"/>
      <c r="E41" s="126"/>
      <c r="F41" s="506">
        <f t="shared" si="6"/>
        <v>6.1932000000000009</v>
      </c>
      <c r="G41" s="126"/>
      <c r="H41" s="506">
        <f t="shared" si="4"/>
        <v>6.1932000000000009</v>
      </c>
      <c r="I41" s="126"/>
      <c r="J41" s="504"/>
      <c r="K41" s="100">
        <f t="shared" si="5"/>
        <v>4.7640000000000002</v>
      </c>
    </row>
    <row r="42" spans="1:30" x14ac:dyDescent="0.25">
      <c r="B42" s="311" t="s">
        <v>286</v>
      </c>
      <c r="C42" s="100">
        <f>Q26+T15</f>
        <v>4.1099999999999994</v>
      </c>
      <c r="D42" s="504"/>
      <c r="E42" s="126">
        <v>4</v>
      </c>
      <c r="F42" s="506">
        <f t="shared" si="6"/>
        <v>5.3429999999999991</v>
      </c>
      <c r="G42" s="126">
        <f t="shared" ref="G42:G43" si="7">E42*1.5</f>
        <v>6</v>
      </c>
      <c r="H42" s="506">
        <f t="shared" si="4"/>
        <v>11.343</v>
      </c>
      <c r="I42" s="126">
        <v>0.6</v>
      </c>
      <c r="J42" s="504">
        <f t="shared" ref="J42:J43" si="8">I42*E42</f>
        <v>2.4</v>
      </c>
      <c r="K42" s="100">
        <f t="shared" si="5"/>
        <v>6.51</v>
      </c>
    </row>
    <row r="43" spans="1:30" x14ac:dyDescent="0.25">
      <c r="B43" s="311" t="s">
        <v>287</v>
      </c>
      <c r="C43" s="126">
        <v>4.8</v>
      </c>
      <c r="D43" s="504"/>
      <c r="E43" s="126">
        <v>4</v>
      </c>
      <c r="F43" s="506">
        <f t="shared" si="6"/>
        <v>6.24</v>
      </c>
      <c r="G43" s="126">
        <f t="shared" si="7"/>
        <v>6</v>
      </c>
      <c r="H43" s="506">
        <f t="shared" si="4"/>
        <v>12.24</v>
      </c>
      <c r="I43" s="126">
        <v>0.6</v>
      </c>
      <c r="J43" s="504">
        <f t="shared" si="8"/>
        <v>2.4</v>
      </c>
      <c r="K43" s="100">
        <f t="shared" si="5"/>
        <v>7.1999999999999993</v>
      </c>
    </row>
    <row r="44" spans="1:30" x14ac:dyDescent="0.25">
      <c r="B44" s="311" t="s">
        <v>171</v>
      </c>
      <c r="C44" s="100">
        <f>Y13</f>
        <v>15.225000000000001</v>
      </c>
      <c r="D44" s="504"/>
      <c r="E44" s="126"/>
      <c r="F44" s="506">
        <f t="shared" si="6"/>
        <v>19.792500000000004</v>
      </c>
      <c r="G44" s="126"/>
      <c r="H44" s="506">
        <f t="shared" si="4"/>
        <v>19.792500000000004</v>
      </c>
      <c r="I44" s="126"/>
      <c r="J44" s="504"/>
      <c r="K44" s="100">
        <f t="shared" si="5"/>
        <v>15.225000000000001</v>
      </c>
    </row>
    <row r="45" spans="1:30" x14ac:dyDescent="0.25">
      <c r="B45" s="311" t="s">
        <v>304</v>
      </c>
      <c r="C45" s="100">
        <f>AD13</f>
        <v>25</v>
      </c>
      <c r="D45" s="504"/>
      <c r="E45" s="126"/>
      <c r="F45" s="506">
        <f t="shared" si="6"/>
        <v>32.5</v>
      </c>
      <c r="G45" s="126"/>
      <c r="H45" s="506">
        <f t="shared" si="4"/>
        <v>32.5</v>
      </c>
      <c r="I45" s="126"/>
      <c r="J45" s="504"/>
      <c r="K45" s="100">
        <f t="shared" si="5"/>
        <v>25</v>
      </c>
    </row>
    <row r="46" spans="1:30" x14ac:dyDescent="0.25">
      <c r="B46" s="311" t="s">
        <v>302</v>
      </c>
      <c r="C46" s="100">
        <f>AC17</f>
        <v>10.125</v>
      </c>
      <c r="D46" s="504"/>
      <c r="E46" s="126"/>
      <c r="F46" s="506">
        <f t="shared" ref="F46:F48" si="9">(C46*1.3)+(D46*1.5)</f>
        <v>13.1625</v>
      </c>
      <c r="G46" s="126"/>
      <c r="H46" s="506">
        <f t="shared" ref="H46:H48" si="10">F46+G46</f>
        <v>13.1625</v>
      </c>
      <c r="I46" s="126"/>
      <c r="J46" s="504"/>
      <c r="K46" s="100">
        <f t="shared" ref="K46:K48" si="11">C46+J46</f>
        <v>10.125</v>
      </c>
    </row>
    <row r="47" spans="1:30" x14ac:dyDescent="0.25">
      <c r="B47" s="311" t="s">
        <v>305</v>
      </c>
      <c r="C47" s="100">
        <f>F6+F14+C26</f>
        <v>3.3155999999999994</v>
      </c>
      <c r="D47" s="15"/>
      <c r="E47" s="515"/>
      <c r="F47" s="506">
        <f t="shared" si="9"/>
        <v>4.3102799999999997</v>
      </c>
      <c r="G47" s="515"/>
      <c r="H47" s="506">
        <f t="shared" si="10"/>
        <v>4.3102799999999997</v>
      </c>
      <c r="I47" s="515"/>
      <c r="J47" s="15"/>
      <c r="K47" s="100">
        <f t="shared" si="11"/>
        <v>3.3155999999999994</v>
      </c>
    </row>
    <row r="48" spans="1:30" x14ac:dyDescent="0.25">
      <c r="B48" s="311" t="s">
        <v>306</v>
      </c>
      <c r="C48" s="101">
        <f>T15+C26</f>
        <v>4.1099999999999994</v>
      </c>
      <c r="D48" s="221"/>
      <c r="E48" s="217"/>
      <c r="F48" s="168">
        <f t="shared" si="9"/>
        <v>5.3429999999999991</v>
      </c>
      <c r="G48" s="217"/>
      <c r="H48" s="168">
        <f t="shared" si="10"/>
        <v>5.3429999999999991</v>
      </c>
      <c r="I48" s="217"/>
      <c r="J48" s="221"/>
      <c r="K48" s="101">
        <f t="shared" si="11"/>
        <v>4.1099999999999994</v>
      </c>
    </row>
  </sheetData>
  <mergeCells count="40">
    <mergeCell ref="V27:W27"/>
    <mergeCell ref="B1:F1"/>
    <mergeCell ref="B3:C3"/>
    <mergeCell ref="B6:C6"/>
    <mergeCell ref="S2:T2"/>
    <mergeCell ref="P2:Q2"/>
    <mergeCell ref="P3:Q3"/>
    <mergeCell ref="P6:Q6"/>
    <mergeCell ref="E22:F22"/>
    <mergeCell ref="H12:I12"/>
    <mergeCell ref="B10:C10"/>
    <mergeCell ref="B20:C20"/>
    <mergeCell ref="B2:C2"/>
    <mergeCell ref="E2:F2"/>
    <mergeCell ref="E3:F3"/>
    <mergeCell ref="E7:F7"/>
    <mergeCell ref="E11:F11"/>
    <mergeCell ref="E17:F17"/>
    <mergeCell ref="H2:I2"/>
    <mergeCell ref="Z1:AA1"/>
    <mergeCell ref="L12:M12"/>
    <mergeCell ref="S3:T3"/>
    <mergeCell ref="S7:T7"/>
    <mergeCell ref="S11:T11"/>
    <mergeCell ref="P1:T1"/>
    <mergeCell ref="P10:Q10"/>
    <mergeCell ref="L2:M2"/>
    <mergeCell ref="V2:Y2"/>
    <mergeCell ref="AA2:AD2"/>
    <mergeCell ref="V11:Y11"/>
    <mergeCell ref="Z11:AC11"/>
    <mergeCell ref="AD11:AG11"/>
    <mergeCell ref="V15:Y15"/>
    <mergeCell ref="V26:W26"/>
    <mergeCell ref="P20:Q20"/>
    <mergeCell ref="AA24:AB24"/>
    <mergeCell ref="Z15:AC15"/>
    <mergeCell ref="AA25:AB25"/>
    <mergeCell ref="AB19:AD19"/>
    <mergeCell ref="W19:Y19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43"/>
  <sheetViews>
    <sheetView topLeftCell="A16" zoomScale="80" zoomScaleNormal="80" workbookViewId="0">
      <selection activeCell="D38" sqref="D38"/>
    </sheetView>
  </sheetViews>
  <sheetFormatPr defaultRowHeight="15" x14ac:dyDescent="0.25"/>
  <cols>
    <col min="2" max="2" width="19.140625" customWidth="1"/>
    <col min="3" max="3" width="20.28515625" customWidth="1"/>
    <col min="4" max="4" width="21.5703125" customWidth="1"/>
    <col min="5" max="5" width="16.42578125" customWidth="1"/>
    <col min="6" max="6" width="14.42578125" customWidth="1"/>
    <col min="7" max="7" width="13.5703125" customWidth="1"/>
    <col min="8" max="8" width="12.42578125" customWidth="1"/>
    <col min="9" max="9" width="19.5703125" customWidth="1"/>
    <col min="10" max="10" width="18.140625" customWidth="1"/>
    <col min="11" max="11" width="11.140625" customWidth="1"/>
  </cols>
  <sheetData>
    <row r="1" spans="2:6" x14ac:dyDescent="0.25">
      <c r="B1" s="525" t="s">
        <v>480</v>
      </c>
      <c r="C1" s="525" t="s">
        <v>82</v>
      </c>
    </row>
    <row r="2" spans="2:6" x14ac:dyDescent="0.25">
      <c r="B2" s="454" t="s">
        <v>80</v>
      </c>
      <c r="C2" s="115">
        <f>'Masse di Piano'!C27+'Masse di Piano'!C29</f>
        <v>28.619999999999997</v>
      </c>
    </row>
    <row r="3" spans="2:6" x14ac:dyDescent="0.25">
      <c r="B3" s="454" t="s">
        <v>536</v>
      </c>
      <c r="C3" s="115">
        <f>'Masse di Piano'!E26+'Masse di Piano'!E29+'Masse di Piano'!E30</f>
        <v>389.02</v>
      </c>
    </row>
    <row r="4" spans="2:6" x14ac:dyDescent="0.25">
      <c r="B4" s="454" t="s">
        <v>537</v>
      </c>
      <c r="C4" s="115">
        <f>'Masse di Piano'!G25+'Masse di Piano'!G28+'Masse di Piano'!G30</f>
        <v>361.3</v>
      </c>
    </row>
    <row r="5" spans="2:6" x14ac:dyDescent="0.25">
      <c r="B5" s="454" t="s">
        <v>538</v>
      </c>
      <c r="C5" s="115">
        <f>'Masse di Piano'!K25+'Masse di Piano'!K30</f>
        <v>329.62</v>
      </c>
    </row>
    <row r="6" spans="2:6" x14ac:dyDescent="0.25">
      <c r="B6" s="454" t="s">
        <v>539</v>
      </c>
      <c r="C6" s="116">
        <f>'Masse di Piano'!K25+'Masse di Piano'!K30</f>
        <v>329.62</v>
      </c>
    </row>
    <row r="9" spans="2:6" x14ac:dyDescent="0.25">
      <c r="B9" s="46" t="s">
        <v>81</v>
      </c>
      <c r="C9" s="46" t="s">
        <v>82</v>
      </c>
      <c r="D9" s="46" t="s">
        <v>83</v>
      </c>
      <c r="E9" s="46" t="s">
        <v>84</v>
      </c>
      <c r="F9" s="46" t="s">
        <v>85</v>
      </c>
    </row>
    <row r="10" spans="2:6" x14ac:dyDescent="0.25">
      <c r="B10" s="46" t="s">
        <v>532</v>
      </c>
      <c r="C10" s="45">
        <f>C2+C3</f>
        <v>417.64</v>
      </c>
      <c r="D10" s="115">
        <f>'Masse di Piano'!G53</f>
        <v>7.8033556077004125</v>
      </c>
      <c r="E10" s="115">
        <f>C10*D10</f>
        <v>3258.9934360000002</v>
      </c>
      <c r="F10" s="116">
        <f>E10/9.81</f>
        <v>332.2113594291539</v>
      </c>
    </row>
    <row r="11" spans="2:6" x14ac:dyDescent="0.25">
      <c r="B11" s="46" t="s">
        <v>533</v>
      </c>
      <c r="C11" s="45">
        <f>C4</f>
        <v>361.3</v>
      </c>
      <c r="D11" s="115">
        <f>'Masse di Piano'!G54</f>
        <v>9.3735220038748963</v>
      </c>
      <c r="E11" s="115">
        <f>C11*D11</f>
        <v>3386.6535000000003</v>
      </c>
      <c r="F11" s="116">
        <f>E11/9.81</f>
        <v>345.22461773700309</v>
      </c>
    </row>
    <row r="12" spans="2:6" x14ac:dyDescent="0.25">
      <c r="B12" s="46">
        <v>2</v>
      </c>
      <c r="C12" s="45">
        <f>C5</f>
        <v>329.62</v>
      </c>
      <c r="D12" s="115">
        <f>'Masse di Piano'!G58</f>
        <v>9.9847293853528303</v>
      </c>
      <c r="E12" s="115">
        <f>C12*D12</f>
        <v>3291.1664999999998</v>
      </c>
      <c r="F12" s="116">
        <f>E12/9.81</f>
        <v>335.49097859327213</v>
      </c>
    </row>
    <row r="13" spans="2:6" x14ac:dyDescent="0.25">
      <c r="B13" s="46" t="s">
        <v>534</v>
      </c>
      <c r="C13" s="45">
        <f>C6</f>
        <v>329.62</v>
      </c>
      <c r="D13" s="45">
        <v>10</v>
      </c>
      <c r="E13" s="115">
        <f>C13*D13</f>
        <v>3296.2</v>
      </c>
      <c r="F13" s="116">
        <f>E13/9.81</f>
        <v>336.00407747196732</v>
      </c>
    </row>
    <row r="14" spans="2:6" x14ac:dyDescent="0.25">
      <c r="D14" s="202" t="s">
        <v>535</v>
      </c>
      <c r="E14" s="77">
        <f>E10+(E11*4)+E12</f>
        <v>20096.773936000001</v>
      </c>
      <c r="F14" s="77">
        <f>F10+(F11*4)+F12</f>
        <v>2048.6008089704383</v>
      </c>
    </row>
    <row r="17" spans="2:13" x14ac:dyDescent="0.25">
      <c r="B17" s="47" t="s">
        <v>86</v>
      </c>
      <c r="C17" s="45">
        <v>7.4999999999999997E-2</v>
      </c>
      <c r="D17" s="307"/>
      <c r="E17" s="3" t="s">
        <v>90</v>
      </c>
      <c r="F17" s="47" t="s">
        <v>91</v>
      </c>
      <c r="G17" s="322">
        <f>0.85*E14*C22</f>
        <v>1848.0712121822658</v>
      </c>
    </row>
    <row r="18" spans="2:13" x14ac:dyDescent="0.25">
      <c r="B18" s="47" t="s">
        <v>87</v>
      </c>
      <c r="C18" s="45">
        <f>3.2*6</f>
        <v>19.200000000000003</v>
      </c>
    </row>
    <row r="19" spans="2:13" x14ac:dyDescent="0.25">
      <c r="B19" s="47" t="s">
        <v>89</v>
      </c>
      <c r="C19" s="51">
        <f>C17*(C18^(3/4))</f>
        <v>0.68791881038714409</v>
      </c>
      <c r="E19" s="526" t="s">
        <v>540</v>
      </c>
      <c r="F19">
        <f>Dati!D14</f>
        <v>3.9</v>
      </c>
    </row>
    <row r="20" spans="2:13" x14ac:dyDescent="0.25">
      <c r="B20" s="47" t="s">
        <v>495</v>
      </c>
      <c r="C20" s="51">
        <f>0.596*(0.487/C19)</f>
        <v>0.42192769788727419</v>
      </c>
    </row>
    <row r="21" spans="2:13" x14ac:dyDescent="0.25">
      <c r="B21" s="47" t="s">
        <v>88</v>
      </c>
      <c r="C21" s="45">
        <v>0.115</v>
      </c>
    </row>
    <row r="22" spans="2:13" x14ac:dyDescent="0.25">
      <c r="B22" s="48" t="s">
        <v>92</v>
      </c>
      <c r="C22" s="527">
        <f>C20/F19</f>
        <v>0.10818658920186518</v>
      </c>
    </row>
    <row r="23" spans="2:13" x14ac:dyDescent="0.25">
      <c r="B23" s="50"/>
      <c r="C23" s="49"/>
    </row>
    <row r="24" spans="2:13" x14ac:dyDescent="0.25">
      <c r="B24" s="15"/>
      <c r="C24" s="15"/>
    </row>
    <row r="25" spans="2:13" x14ac:dyDescent="0.25">
      <c r="B25" s="454" t="s">
        <v>480</v>
      </c>
      <c r="C25" s="163" t="s">
        <v>93</v>
      </c>
      <c r="D25" s="163" t="s">
        <v>94</v>
      </c>
      <c r="E25" s="129" t="s">
        <v>95</v>
      </c>
      <c r="F25" s="163" t="s">
        <v>96</v>
      </c>
      <c r="G25" s="102" t="s">
        <v>97</v>
      </c>
    </row>
    <row r="26" spans="2:13" x14ac:dyDescent="0.25">
      <c r="B26" s="128" t="s">
        <v>228</v>
      </c>
      <c r="C26" s="31">
        <f>E10</f>
        <v>3258.9934360000002</v>
      </c>
      <c r="D26" s="159">
        <f>$D$31*B27</f>
        <v>19.200000000000003</v>
      </c>
      <c r="E26" s="31">
        <f t="shared" ref="E26:E31" si="0">C26*D26</f>
        <v>62572.673971200013</v>
      </c>
      <c r="F26" s="31">
        <f t="shared" ref="F26:F31" si="1">E26/$E$32*$G$17</f>
        <v>514.34668904928992</v>
      </c>
      <c r="G26" s="230">
        <f>F26</f>
        <v>514.34668904928992</v>
      </c>
      <c r="J26" s="3" t="s">
        <v>349</v>
      </c>
      <c r="K26" s="3"/>
      <c r="L26" s="3"/>
      <c r="M26" s="3"/>
    </row>
    <row r="27" spans="2:13" x14ac:dyDescent="0.25">
      <c r="B27" s="52">
        <v>6</v>
      </c>
      <c r="C27" s="528">
        <f>E11</f>
        <v>3386.6535000000003</v>
      </c>
      <c r="D27" s="159">
        <f>$D$31*B28</f>
        <v>16</v>
      </c>
      <c r="E27" s="31">
        <f t="shared" si="0"/>
        <v>54186.456000000006</v>
      </c>
      <c r="F27" s="31">
        <f t="shared" si="1"/>
        <v>445.41206993555835</v>
      </c>
      <c r="G27" s="230">
        <f>G26+F27</f>
        <v>959.75875898484833</v>
      </c>
      <c r="J27" s="3" t="s">
        <v>350</v>
      </c>
      <c r="K27" s="3"/>
    </row>
    <row r="28" spans="2:13" x14ac:dyDescent="0.25">
      <c r="B28" s="52">
        <v>5</v>
      </c>
      <c r="C28" s="528">
        <f>E11</f>
        <v>3386.6535000000003</v>
      </c>
      <c r="D28" s="159">
        <f>$D$31*B29</f>
        <v>12.8</v>
      </c>
      <c r="E28" s="31">
        <f t="shared" si="0"/>
        <v>43349.164800000006</v>
      </c>
      <c r="F28" s="31">
        <f t="shared" si="1"/>
        <v>356.32965594844671</v>
      </c>
      <c r="G28" s="230">
        <f>G27+F28</f>
        <v>1316.0884149332951</v>
      </c>
    </row>
    <row r="29" spans="2:13" x14ac:dyDescent="0.25">
      <c r="B29" s="52">
        <v>4</v>
      </c>
      <c r="C29" s="528">
        <f>E11</f>
        <v>3386.6535000000003</v>
      </c>
      <c r="D29" s="159">
        <f>$D$31*B30</f>
        <v>9.6000000000000014</v>
      </c>
      <c r="E29" s="31">
        <f t="shared" si="0"/>
        <v>32511.87360000001</v>
      </c>
      <c r="F29" s="31">
        <f t="shared" si="1"/>
        <v>267.24724196133508</v>
      </c>
      <c r="G29" s="230">
        <f>G28+F29</f>
        <v>1583.3356568946301</v>
      </c>
    </row>
    <row r="30" spans="2:13" x14ac:dyDescent="0.25">
      <c r="B30" s="52">
        <v>3</v>
      </c>
      <c r="C30" s="528">
        <f>E11</f>
        <v>3386.6535000000003</v>
      </c>
      <c r="D30" s="3">
        <f>$D$31*B31</f>
        <v>6.4</v>
      </c>
      <c r="E30" s="31">
        <f t="shared" si="0"/>
        <v>21674.582400000003</v>
      </c>
      <c r="F30" s="31">
        <f t="shared" si="1"/>
        <v>178.16482797422336</v>
      </c>
      <c r="G30" s="230">
        <f>G29+F30</f>
        <v>1761.5004848688534</v>
      </c>
    </row>
    <row r="31" spans="2:13" x14ac:dyDescent="0.25">
      <c r="B31" s="52">
        <v>2</v>
      </c>
      <c r="C31" s="3">
        <f>E12</f>
        <v>3291.1664999999998</v>
      </c>
      <c r="D31" s="3">
        <v>3.2</v>
      </c>
      <c r="E31" s="31">
        <f t="shared" si="0"/>
        <v>10531.7328</v>
      </c>
      <c r="F31" s="31">
        <f t="shared" si="1"/>
        <v>86.570727313412291</v>
      </c>
      <c r="G31" s="230">
        <f>G30+F31</f>
        <v>1848.0712121822658</v>
      </c>
    </row>
    <row r="32" spans="2:13" x14ac:dyDescent="0.25">
      <c r="B32" s="53" t="s">
        <v>98</v>
      </c>
      <c r="C32" s="115">
        <f>SUM(C26:C31)</f>
        <v>20096.773936000001</v>
      </c>
      <c r="D32" s="45"/>
      <c r="E32" s="115">
        <f>SUM(E26:E31)</f>
        <v>224826.48357120005</v>
      </c>
      <c r="F32" s="54"/>
      <c r="G32" s="55"/>
    </row>
    <row r="35" spans="2:10" x14ac:dyDescent="0.25">
      <c r="B35" s="551" t="s">
        <v>351</v>
      </c>
      <c r="C35" s="572"/>
      <c r="D35" s="552"/>
      <c r="E35" s="511">
        <v>13</v>
      </c>
      <c r="F35" s="17"/>
      <c r="G35" s="17"/>
      <c r="I35" s="503" t="s">
        <v>530</v>
      </c>
      <c r="J35" s="503">
        <v>11</v>
      </c>
    </row>
    <row r="36" spans="2:10" x14ac:dyDescent="0.25">
      <c r="B36" s="32" t="s">
        <v>480</v>
      </c>
      <c r="C36" s="30" t="s">
        <v>100</v>
      </c>
      <c r="D36" s="30" t="s">
        <v>101</v>
      </c>
      <c r="H36" s="480" t="s">
        <v>215</v>
      </c>
      <c r="I36" s="480" t="s">
        <v>100</v>
      </c>
      <c r="J36" s="480" t="s">
        <v>101</v>
      </c>
    </row>
    <row r="37" spans="2:10" x14ac:dyDescent="0.25">
      <c r="B37" s="52" t="s">
        <v>231</v>
      </c>
      <c r="C37" s="75">
        <f t="shared" ref="C37:C42" si="2">G26</f>
        <v>514.34668904928992</v>
      </c>
      <c r="D37" s="35">
        <f>C37/$E$35</f>
        <v>39.565129926868458</v>
      </c>
      <c r="H37" s="480" t="s">
        <v>231</v>
      </c>
      <c r="I37" s="105">
        <f t="shared" ref="I37:I42" si="3">G26</f>
        <v>514.34668904928992</v>
      </c>
      <c r="J37" s="108">
        <f>I37/$J$35</f>
        <v>46.75878991357181</v>
      </c>
    </row>
    <row r="38" spans="2:10" x14ac:dyDescent="0.25">
      <c r="B38" s="52">
        <v>6</v>
      </c>
      <c r="C38" s="231">
        <f t="shared" si="2"/>
        <v>959.75875898484833</v>
      </c>
      <c r="D38" s="74">
        <f t="shared" ref="D38:D40" si="4">C38/$E$35</f>
        <v>73.827596844988335</v>
      </c>
      <c r="H38" s="480">
        <v>6</v>
      </c>
      <c r="I38" s="106">
        <f t="shared" si="3"/>
        <v>959.75875898484833</v>
      </c>
      <c r="J38" s="109">
        <f t="shared" ref="J38:J41" si="5">I38/$J$35</f>
        <v>87.250796271349842</v>
      </c>
    </row>
    <row r="39" spans="2:10" x14ac:dyDescent="0.25">
      <c r="B39" s="52">
        <v>5</v>
      </c>
      <c r="C39" s="231">
        <f t="shared" si="2"/>
        <v>1316.0884149332951</v>
      </c>
      <c r="D39" s="74">
        <f t="shared" si="4"/>
        <v>101.23757037948424</v>
      </c>
      <c r="H39" s="480">
        <v>5</v>
      </c>
      <c r="I39" s="106">
        <f t="shared" si="3"/>
        <v>1316.0884149332951</v>
      </c>
      <c r="J39" s="109">
        <f t="shared" si="5"/>
        <v>119.64440135757228</v>
      </c>
    </row>
    <row r="40" spans="2:10" x14ac:dyDescent="0.25">
      <c r="B40" s="52">
        <v>4</v>
      </c>
      <c r="C40" s="231">
        <f t="shared" si="2"/>
        <v>1583.3356568946301</v>
      </c>
      <c r="D40" s="74">
        <f t="shared" si="4"/>
        <v>121.79505053035616</v>
      </c>
      <c r="H40" s="480">
        <v>4</v>
      </c>
      <c r="I40" s="106">
        <f t="shared" si="3"/>
        <v>1583.3356568946301</v>
      </c>
      <c r="J40" s="109">
        <f t="shared" si="5"/>
        <v>143.93960517223911</v>
      </c>
    </row>
    <row r="41" spans="2:10" x14ac:dyDescent="0.25">
      <c r="B41" s="52">
        <v>3</v>
      </c>
      <c r="C41" s="231">
        <f t="shared" si="2"/>
        <v>1761.5004848688534</v>
      </c>
      <c r="D41" s="74">
        <f>C41/$E$35</f>
        <v>135.50003729760411</v>
      </c>
      <c r="H41" s="480">
        <v>3</v>
      </c>
      <c r="I41" s="106">
        <f t="shared" si="3"/>
        <v>1761.5004848688534</v>
      </c>
      <c r="J41" s="109">
        <f t="shared" si="5"/>
        <v>160.13640771535032</v>
      </c>
    </row>
    <row r="42" spans="2:10" x14ac:dyDescent="0.25">
      <c r="B42" s="52">
        <v>2</v>
      </c>
      <c r="C42" s="231">
        <f t="shared" si="2"/>
        <v>1848.0712121822658</v>
      </c>
      <c r="D42" s="74">
        <f>C42/10</f>
        <v>184.80712121822657</v>
      </c>
      <c r="H42" s="480">
        <v>2</v>
      </c>
      <c r="I42" s="106">
        <f t="shared" si="3"/>
        <v>1848.0712121822658</v>
      </c>
      <c r="J42" s="109">
        <f>I42/10</f>
        <v>184.80712121822657</v>
      </c>
    </row>
    <row r="43" spans="2:10" x14ac:dyDescent="0.25">
      <c r="B43" s="52">
        <v>1</v>
      </c>
      <c r="C43" s="232"/>
      <c r="D43" s="73"/>
      <c r="E43" s="120"/>
      <c r="H43" s="480">
        <v>1</v>
      </c>
      <c r="I43" s="123"/>
      <c r="J43" s="205"/>
    </row>
  </sheetData>
  <mergeCells count="1">
    <mergeCell ref="B35:D35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85"/>
  <sheetViews>
    <sheetView tabSelected="1" topLeftCell="A7" zoomScale="70" zoomScaleNormal="70" workbookViewId="0">
      <selection activeCell="A19" sqref="A19:F19"/>
    </sheetView>
  </sheetViews>
  <sheetFormatPr defaultRowHeight="15" x14ac:dyDescent="0.25"/>
  <cols>
    <col min="1" max="1" width="23.42578125" customWidth="1"/>
    <col min="2" max="2" width="16.28515625" customWidth="1"/>
    <col min="3" max="3" width="18" customWidth="1"/>
    <col min="4" max="4" width="25.140625" customWidth="1"/>
    <col min="5" max="5" width="24.7109375" customWidth="1"/>
    <col min="6" max="6" width="21.85546875" customWidth="1"/>
    <col min="7" max="7" width="16" customWidth="1"/>
    <col min="8" max="8" width="17.140625" customWidth="1"/>
    <col min="9" max="9" width="19.140625" customWidth="1"/>
    <col min="10" max="10" width="19.85546875" customWidth="1"/>
    <col min="11" max="11" width="20.85546875" customWidth="1"/>
    <col min="12" max="12" width="17" customWidth="1"/>
    <col min="13" max="13" width="15.28515625" customWidth="1"/>
    <col min="14" max="14" width="23.42578125" customWidth="1"/>
    <col min="15" max="15" width="24.7109375" customWidth="1"/>
    <col min="16" max="16" width="18.5703125" customWidth="1"/>
  </cols>
  <sheetData>
    <row r="2" spans="1:17" x14ac:dyDescent="0.25">
      <c r="A2" s="574" t="s">
        <v>106</v>
      </c>
      <c r="B2" s="574"/>
      <c r="G2" s="526"/>
      <c r="H2" s="526"/>
      <c r="I2" s="526"/>
    </row>
    <row r="3" spans="1:17" x14ac:dyDescent="0.25">
      <c r="A3" s="3" t="s">
        <v>102</v>
      </c>
      <c r="B3" s="3">
        <v>13</v>
      </c>
      <c r="E3" s="529"/>
      <c r="G3" s="526"/>
      <c r="H3" s="453"/>
      <c r="I3" s="453"/>
    </row>
    <row r="4" spans="1:17" x14ac:dyDescent="0.25">
      <c r="A4" s="3" t="s">
        <v>103</v>
      </c>
      <c r="B4" s="3">
        <v>11</v>
      </c>
      <c r="E4" s="529"/>
      <c r="G4" s="526"/>
      <c r="H4" s="453"/>
      <c r="I4" s="453"/>
    </row>
    <row r="5" spans="1:17" x14ac:dyDescent="0.25">
      <c r="A5" s="3" t="s">
        <v>105</v>
      </c>
      <c r="B5" s="3">
        <v>4</v>
      </c>
      <c r="E5" s="529"/>
      <c r="G5" s="526"/>
      <c r="H5" s="453"/>
      <c r="I5" s="453"/>
    </row>
    <row r="6" spans="1:17" x14ac:dyDescent="0.25">
      <c r="A6" t="s">
        <v>104</v>
      </c>
      <c r="B6" s="3">
        <f>B3-B5</f>
        <v>9</v>
      </c>
      <c r="E6" s="529"/>
      <c r="G6" s="526"/>
      <c r="H6" s="453"/>
      <c r="I6" s="453"/>
    </row>
    <row r="7" spans="1:17" x14ac:dyDescent="0.25">
      <c r="A7" s="16" t="s">
        <v>107</v>
      </c>
      <c r="B7" s="3">
        <v>3.2</v>
      </c>
      <c r="E7" s="529"/>
    </row>
    <row r="8" spans="1:17" x14ac:dyDescent="0.25">
      <c r="A8" s="3" t="s">
        <v>112</v>
      </c>
      <c r="B8" s="3">
        <v>5.2</v>
      </c>
      <c r="D8" s="530"/>
      <c r="E8" s="529"/>
    </row>
    <row r="9" spans="1:17" x14ac:dyDescent="0.25">
      <c r="D9" s="503" t="s">
        <v>194</v>
      </c>
      <c r="N9" s="503" t="s">
        <v>199</v>
      </c>
    </row>
    <row r="10" spans="1:17" x14ac:dyDescent="0.25">
      <c r="A10" s="56" t="s">
        <v>480</v>
      </c>
      <c r="B10" s="45" t="s">
        <v>113</v>
      </c>
      <c r="C10" s="45" t="s">
        <v>108</v>
      </c>
      <c r="D10" s="45" t="s">
        <v>109</v>
      </c>
      <c r="E10" s="58" t="s">
        <v>110</v>
      </c>
      <c r="F10" s="59" t="s">
        <v>111</v>
      </c>
      <c r="K10" s="480" t="s">
        <v>215</v>
      </c>
      <c r="L10" s="480" t="s">
        <v>113</v>
      </c>
      <c r="M10" s="510" t="s">
        <v>108</v>
      </c>
      <c r="N10" s="480" t="s">
        <v>109</v>
      </c>
      <c r="O10" s="492" t="s">
        <v>110</v>
      </c>
      <c r="P10" s="499"/>
      <c r="Q10" s="503"/>
    </row>
    <row r="11" spans="1:17" x14ac:dyDescent="0.25">
      <c r="A11" s="56">
        <v>7</v>
      </c>
      <c r="B11" s="105">
        <f>'Masse &amp; forze'!C37</f>
        <v>514.34668904928992</v>
      </c>
      <c r="C11" s="35">
        <f>'Masse &amp; forze'!D37</f>
        <v>39.565129926868458</v>
      </c>
      <c r="D11" s="76">
        <f>0.4*C11*3.2</f>
        <v>50.643366306391634</v>
      </c>
      <c r="E11" s="99">
        <f>(D11)/2</f>
        <v>25.321683153195817</v>
      </c>
      <c r="F11" s="76">
        <f>((2*E11)/$B$8)</f>
        <v>9.7391089050753141</v>
      </c>
      <c r="K11" s="508">
        <v>7</v>
      </c>
      <c r="L11" s="106">
        <f>'Masse &amp; forze'!I37</f>
        <v>514.34668904928992</v>
      </c>
      <c r="M11" s="501">
        <f>'Masse &amp; forze'!J37</f>
        <v>46.75878991357181</v>
      </c>
      <c r="N11" s="501">
        <f>0.4*M11*3.2</f>
        <v>59.851251089371921</v>
      </c>
      <c r="O11" s="109">
        <f>N11/2</f>
        <v>29.92562554468596</v>
      </c>
      <c r="P11" s="68"/>
      <c r="Q11" s="503"/>
    </row>
    <row r="12" spans="1:17" x14ac:dyDescent="0.25">
      <c r="A12" s="56">
        <v>6</v>
      </c>
      <c r="B12" s="106">
        <f>'Masse &amp; forze'!C38</f>
        <v>959.75875898484833</v>
      </c>
      <c r="C12" s="74">
        <f>'Masse &amp; forze'!D38</f>
        <v>73.827596844988335</v>
      </c>
      <c r="D12" s="98">
        <f>0.5*C12*3.2</f>
        <v>118.12415495198134</v>
      </c>
      <c r="E12" s="100">
        <f>(D11+D12)/2</f>
        <v>84.383760629186483</v>
      </c>
      <c r="F12" s="98">
        <f>((2*E12)/$B$8)+F11</f>
        <v>42.194401454762421</v>
      </c>
      <c r="H12" s="81"/>
      <c r="I12" s="81"/>
      <c r="J12" s="81"/>
      <c r="K12" s="509">
        <v>6</v>
      </c>
      <c r="L12" s="106">
        <f>'Masse &amp; forze'!I38</f>
        <v>959.75875898484833</v>
      </c>
      <c r="M12" s="501">
        <f>'Masse &amp; forze'!J38</f>
        <v>87.250796271349842</v>
      </c>
      <c r="N12" s="501">
        <f>0.5*M12*3.2</f>
        <v>139.60127403415976</v>
      </c>
      <c r="O12" s="109">
        <f>(N12+N11)/2</f>
        <v>99.726262561765836</v>
      </c>
      <c r="P12" s="503"/>
      <c r="Q12" s="503"/>
    </row>
    <row r="13" spans="1:17" x14ac:dyDescent="0.25">
      <c r="A13" s="56">
        <v>5</v>
      </c>
      <c r="B13" s="106">
        <f>'Masse &amp; forze'!C39</f>
        <v>1316.0884149332951</v>
      </c>
      <c r="C13" s="74">
        <f>'Masse &amp; forze'!D39</f>
        <v>101.23757037948424</v>
      </c>
      <c r="D13" s="98">
        <f>0.5*C13*3.2</f>
        <v>161.98011260717479</v>
      </c>
      <c r="E13" s="100">
        <f>(D12+D13)/2</f>
        <v>140.05213377957807</v>
      </c>
      <c r="F13" s="98">
        <f>((2*E13)/$B$8)+F12</f>
        <v>96.060606754600144</v>
      </c>
      <c r="H13" s="81"/>
      <c r="I13" s="81"/>
      <c r="J13" s="81"/>
      <c r="K13" s="509">
        <v>5</v>
      </c>
      <c r="L13" s="106">
        <f>'Masse &amp; forze'!I39</f>
        <v>1316.0884149332951</v>
      </c>
      <c r="M13" s="501">
        <f>'Masse &amp; forze'!J39</f>
        <v>119.64440135757228</v>
      </c>
      <c r="N13" s="501">
        <f t="shared" ref="N13:N15" si="0">0.5*M13*3.2</f>
        <v>191.43104217211567</v>
      </c>
      <c r="O13" s="109">
        <f t="shared" ref="O13:O16" si="1">(N13+N12)/2</f>
        <v>165.51615810313771</v>
      </c>
      <c r="P13" s="503"/>
      <c r="Q13" s="503"/>
    </row>
    <row r="14" spans="1:17" x14ac:dyDescent="0.25">
      <c r="A14" s="56">
        <v>4</v>
      </c>
      <c r="B14" s="106">
        <f>'Masse &amp; forze'!C40</f>
        <v>1583.3356568946301</v>
      </c>
      <c r="C14" s="74">
        <f>'Masse &amp; forze'!D40</f>
        <v>121.79505053035616</v>
      </c>
      <c r="D14" s="98">
        <f>0.5*C14*3.2</f>
        <v>194.87208084856988</v>
      </c>
      <c r="E14" s="100">
        <f>(D13+D14)/2</f>
        <v>178.42609672787233</v>
      </c>
      <c r="F14" s="98">
        <f>((2*E14)/$B$8)+F13</f>
        <v>164.68602857301258</v>
      </c>
      <c r="H14" s="81"/>
      <c r="I14" s="81"/>
      <c r="J14" s="81"/>
      <c r="K14" s="509">
        <v>4</v>
      </c>
      <c r="L14" s="106">
        <f>'Masse &amp; forze'!I40</f>
        <v>1583.3356568946301</v>
      </c>
      <c r="M14" s="501">
        <f>'Masse &amp; forze'!J40</f>
        <v>143.93960517223911</v>
      </c>
      <c r="N14" s="501">
        <f t="shared" si="0"/>
        <v>230.30336827558259</v>
      </c>
      <c r="O14" s="109">
        <f t="shared" si="1"/>
        <v>210.86720522384911</v>
      </c>
      <c r="P14" s="503"/>
      <c r="Q14" s="503"/>
    </row>
    <row r="15" spans="1:17" x14ac:dyDescent="0.25">
      <c r="A15" s="56">
        <v>3</v>
      </c>
      <c r="B15" s="106">
        <f>'Masse &amp; forze'!C41</f>
        <v>1761.5004848688534</v>
      </c>
      <c r="C15" s="74">
        <f>'Masse &amp; forze'!D41</f>
        <v>135.50003729760411</v>
      </c>
      <c r="D15" s="233">
        <f>0.5*C15*3.2</f>
        <v>216.8000596761666</v>
      </c>
      <c r="E15" s="100">
        <f>(D14+D15)/2</f>
        <v>205.83607026236825</v>
      </c>
      <c r="F15" s="98">
        <f>((2*E15)/$B$8)+F14</f>
        <v>243.85374790469268</v>
      </c>
      <c r="K15" s="509">
        <v>3</v>
      </c>
      <c r="L15" s="106">
        <f>'Masse &amp; forze'!I41</f>
        <v>1761.5004848688534</v>
      </c>
      <c r="M15" s="501">
        <f>'Masse &amp; forze'!J41</f>
        <v>160.13640771535032</v>
      </c>
      <c r="N15" s="501">
        <f t="shared" si="0"/>
        <v>256.21825234456054</v>
      </c>
      <c r="O15" s="109">
        <f t="shared" si="1"/>
        <v>243.26081031007158</v>
      </c>
      <c r="P15" s="503"/>
      <c r="Q15" s="503"/>
    </row>
    <row r="16" spans="1:17" x14ac:dyDescent="0.25">
      <c r="A16" s="56" t="s">
        <v>229</v>
      </c>
      <c r="B16" s="106">
        <f>'Masse &amp; forze'!C42</f>
        <v>1848.0712121822658</v>
      </c>
      <c r="C16" s="74">
        <f>'Masse &amp; forze'!D42</f>
        <v>184.80712121822657</v>
      </c>
      <c r="D16" s="233">
        <f>0.4*C16*3.2</f>
        <v>236.55311515933005</v>
      </c>
      <c r="E16" s="100">
        <f>(D15+D16)/2</f>
        <v>226.67658741774832</v>
      </c>
      <c r="F16" s="98">
        <f>((2*E16)/$B$8)+F15</f>
        <v>331.03705075767277</v>
      </c>
      <c r="K16" s="509">
        <v>2</v>
      </c>
      <c r="L16" s="106">
        <f>'Masse &amp; forze'!I42</f>
        <v>1848.0712121822658</v>
      </c>
      <c r="M16" s="501">
        <f>'Masse &amp; forze'!J42</f>
        <v>184.80712121822657</v>
      </c>
      <c r="N16" s="501">
        <f>0.4*M16*3.2</f>
        <v>236.55311515933005</v>
      </c>
      <c r="O16" s="109">
        <f t="shared" si="1"/>
        <v>246.38568375194529</v>
      </c>
      <c r="P16" s="503"/>
      <c r="Q16" s="503"/>
    </row>
    <row r="17" spans="1:18" x14ac:dyDescent="0.25">
      <c r="A17" s="56" t="s">
        <v>230</v>
      </c>
      <c r="B17" s="57"/>
      <c r="C17" s="42"/>
      <c r="D17" s="233">
        <f>0.6*C16*3.2</f>
        <v>354.82967273899499</v>
      </c>
      <c r="E17" s="218"/>
      <c r="F17" s="219"/>
      <c r="K17" s="480" t="s">
        <v>230</v>
      </c>
      <c r="L17" s="106"/>
      <c r="M17" s="501"/>
      <c r="N17" s="501">
        <f>0.6*M16*3.2</f>
        <v>354.82967273899499</v>
      </c>
      <c r="O17" s="500"/>
      <c r="P17" s="503"/>
      <c r="Q17" s="503"/>
    </row>
    <row r="18" spans="1:18" ht="15.75" thickBot="1" x14ac:dyDescent="0.3">
      <c r="A18" s="125">
        <v>1</v>
      </c>
      <c r="B18" s="306"/>
      <c r="C18" s="457"/>
      <c r="D18" s="126"/>
      <c r="E18" s="126"/>
      <c r="F18" s="126"/>
      <c r="K18" s="509">
        <v>1</v>
      </c>
      <c r="L18" s="323"/>
      <c r="M18" s="168"/>
      <c r="N18" s="497"/>
      <c r="O18" s="498"/>
      <c r="P18" s="503"/>
      <c r="Q18" s="503"/>
    </row>
    <row r="19" spans="1:18" x14ac:dyDescent="0.25">
      <c r="A19" s="575" t="s">
        <v>547</v>
      </c>
      <c r="B19" s="576"/>
      <c r="C19" s="576"/>
      <c r="D19" s="576"/>
      <c r="E19" s="576"/>
      <c r="F19" s="577"/>
      <c r="G19" s="382"/>
      <c r="H19" s="383"/>
      <c r="I19" s="62" t="s">
        <v>481</v>
      </c>
      <c r="L19" s="502"/>
      <c r="M19" s="502"/>
      <c r="O19" s="503"/>
      <c r="P19" s="503"/>
      <c r="Q19" s="503"/>
    </row>
    <row r="20" spans="1:18" x14ac:dyDescent="0.25">
      <c r="A20" s="459" t="s">
        <v>144</v>
      </c>
      <c r="B20" s="458" t="s">
        <v>113</v>
      </c>
      <c r="C20" s="458" t="s">
        <v>108</v>
      </c>
      <c r="D20" s="458" t="s">
        <v>109</v>
      </c>
      <c r="E20" s="58" t="s">
        <v>110</v>
      </c>
      <c r="F20" s="59" t="s">
        <v>111</v>
      </c>
      <c r="G20" s="15"/>
      <c r="H20" s="386"/>
      <c r="I20" s="62" t="s">
        <v>531</v>
      </c>
      <c r="M20" s="480" t="s">
        <v>215</v>
      </c>
      <c r="N20" s="480" t="s">
        <v>527</v>
      </c>
    </row>
    <row r="21" spans="1:18" x14ac:dyDescent="0.25">
      <c r="A21" s="459">
        <v>7</v>
      </c>
      <c r="B21" s="105">
        <f t="shared" ref="B21:C26" si="2">B11</f>
        <v>514.34668904928992</v>
      </c>
      <c r="C21" s="41">
        <f>C11</f>
        <v>39.565129926868458</v>
      </c>
      <c r="D21" s="317">
        <f>D11*1.3</f>
        <v>65.836376198309125</v>
      </c>
      <c r="E21" s="249">
        <f>E11</f>
        <v>25.321683153195817</v>
      </c>
      <c r="F21" s="108">
        <f t="shared" ref="F21:F26" si="3">F11</f>
        <v>9.7391089050753141</v>
      </c>
      <c r="G21" s="15"/>
      <c r="H21" s="386"/>
      <c r="M21" s="508">
        <v>7</v>
      </c>
      <c r="N21" s="100">
        <f>N11*1.3</f>
        <v>77.806626416183505</v>
      </c>
      <c r="O21" s="502"/>
    </row>
    <row r="22" spans="1:18" x14ac:dyDescent="0.25">
      <c r="A22" s="459">
        <v>6</v>
      </c>
      <c r="B22" s="106">
        <f t="shared" si="2"/>
        <v>959.75875898484833</v>
      </c>
      <c r="C22" s="68">
        <f t="shared" si="2"/>
        <v>73.827596844988335</v>
      </c>
      <c r="D22" s="317">
        <f t="shared" ref="D22:D26" si="4">D12*1.3</f>
        <v>153.56140143757574</v>
      </c>
      <c r="E22" s="107">
        <f t="shared" ref="E22:E26" si="5">E12</f>
        <v>84.383760629186483</v>
      </c>
      <c r="F22" s="109">
        <f t="shared" si="3"/>
        <v>42.194401454762421</v>
      </c>
      <c r="G22" s="15"/>
      <c r="H22" s="386"/>
      <c r="M22" s="509">
        <v>6</v>
      </c>
      <c r="N22" s="100">
        <f t="shared" ref="N22:N26" si="6">N12*1.3</f>
        <v>181.4816562444077</v>
      </c>
      <c r="O22" s="502"/>
    </row>
    <row r="23" spans="1:18" x14ac:dyDescent="0.25">
      <c r="A23" s="459">
        <v>5</v>
      </c>
      <c r="B23" s="106">
        <f t="shared" si="2"/>
        <v>1316.0884149332951</v>
      </c>
      <c r="C23" s="68">
        <f t="shared" si="2"/>
        <v>101.23757037948424</v>
      </c>
      <c r="D23" s="317">
        <f t="shared" si="4"/>
        <v>210.57414638932724</v>
      </c>
      <c r="E23" s="107">
        <f t="shared" si="5"/>
        <v>140.05213377957807</v>
      </c>
      <c r="F23" s="109">
        <f t="shared" si="3"/>
        <v>96.060606754600144</v>
      </c>
      <c r="G23" s="15"/>
      <c r="H23" s="386"/>
      <c r="J23" s="581"/>
      <c r="K23" s="581"/>
      <c r="L23" s="581"/>
      <c r="M23" s="509">
        <v>5</v>
      </c>
      <c r="N23" s="100">
        <f t="shared" si="6"/>
        <v>248.86035482375038</v>
      </c>
      <c r="O23" s="502"/>
    </row>
    <row r="24" spans="1:18" x14ac:dyDescent="0.25">
      <c r="A24" s="459">
        <v>4</v>
      </c>
      <c r="B24" s="106">
        <f t="shared" si="2"/>
        <v>1583.3356568946301</v>
      </c>
      <c r="C24" s="68">
        <f t="shared" si="2"/>
        <v>121.79505053035616</v>
      </c>
      <c r="D24" s="317">
        <f t="shared" si="4"/>
        <v>253.33370510314086</v>
      </c>
      <c r="E24" s="107">
        <f t="shared" si="5"/>
        <v>178.42609672787233</v>
      </c>
      <c r="F24" s="109">
        <f t="shared" si="3"/>
        <v>164.68602857301258</v>
      </c>
      <c r="G24" s="15"/>
      <c r="H24" s="386"/>
      <c r="J24" s="18"/>
      <c r="K24" s="69"/>
      <c r="L24" s="39"/>
      <c r="M24" s="509">
        <v>4</v>
      </c>
      <c r="N24" s="100">
        <f t="shared" si="6"/>
        <v>299.39437875825735</v>
      </c>
      <c r="O24" s="502"/>
    </row>
    <row r="25" spans="1:18" x14ac:dyDescent="0.25">
      <c r="A25" s="459">
        <v>3</v>
      </c>
      <c r="B25" s="106">
        <f t="shared" si="2"/>
        <v>1761.5004848688534</v>
      </c>
      <c r="C25" s="68">
        <f t="shared" si="2"/>
        <v>135.50003729760411</v>
      </c>
      <c r="D25" s="317">
        <f t="shared" si="4"/>
        <v>281.84007757901657</v>
      </c>
      <c r="E25" s="107">
        <f t="shared" si="5"/>
        <v>205.83607026236825</v>
      </c>
      <c r="F25" s="109">
        <f t="shared" si="3"/>
        <v>243.85374790469268</v>
      </c>
      <c r="G25" s="15"/>
      <c r="H25" s="386"/>
      <c r="J25" s="18"/>
      <c r="K25" s="69"/>
      <c r="L25" s="212"/>
      <c r="M25" s="509">
        <v>3</v>
      </c>
      <c r="N25" s="100">
        <f t="shared" si="6"/>
        <v>333.08372804792873</v>
      </c>
      <c r="O25" s="502"/>
    </row>
    <row r="26" spans="1:18" x14ac:dyDescent="0.25">
      <c r="A26" s="459">
        <v>2</v>
      </c>
      <c r="B26" s="106">
        <f t="shared" si="2"/>
        <v>1848.0712121822658</v>
      </c>
      <c r="C26" s="68">
        <f t="shared" si="2"/>
        <v>184.80712121822657</v>
      </c>
      <c r="D26" s="317">
        <f t="shared" si="4"/>
        <v>307.51904970712906</v>
      </c>
      <c r="E26" s="107">
        <f t="shared" si="5"/>
        <v>226.67658741774832</v>
      </c>
      <c r="F26" s="109">
        <f t="shared" si="3"/>
        <v>331.03705075767277</v>
      </c>
      <c r="G26" s="15"/>
      <c r="H26" s="386"/>
      <c r="J26" s="573"/>
      <c r="K26" s="573"/>
      <c r="L26" s="573"/>
      <c r="M26" s="509">
        <v>2</v>
      </c>
      <c r="N26" s="100">
        <f t="shared" si="6"/>
        <v>307.51904970712906</v>
      </c>
      <c r="O26" s="502"/>
    </row>
    <row r="27" spans="1:18" x14ac:dyDescent="0.25">
      <c r="A27" s="459" t="s">
        <v>230</v>
      </c>
      <c r="B27" s="106"/>
      <c r="C27" s="220"/>
      <c r="D27" s="222">
        <f>D17</f>
        <v>354.82967273899499</v>
      </c>
      <c r="E27" s="222"/>
      <c r="F27" s="223"/>
      <c r="G27" s="15"/>
      <c r="H27" s="386"/>
      <c r="J27" s="212"/>
      <c r="K27" s="213"/>
      <c r="L27" s="39"/>
      <c r="M27" s="480" t="s">
        <v>230</v>
      </c>
      <c r="N27" s="100">
        <f>N17</f>
        <v>354.82967273899499</v>
      </c>
      <c r="O27" s="502"/>
    </row>
    <row r="28" spans="1:18" ht="15.75" thickBot="1" x14ac:dyDescent="0.3">
      <c r="A28" s="460">
        <v>1</v>
      </c>
      <c r="B28" s="461"/>
      <c r="C28" s="384"/>
      <c r="D28" s="384"/>
      <c r="E28" s="384"/>
      <c r="F28" s="462"/>
      <c r="G28" s="384"/>
      <c r="H28" s="385"/>
      <c r="J28" s="212"/>
      <c r="K28" s="18"/>
      <c r="L28" s="39"/>
      <c r="M28" s="39"/>
      <c r="N28" s="217"/>
    </row>
    <row r="29" spans="1:18" x14ac:dyDescent="0.25">
      <c r="A29" s="170"/>
      <c r="J29" s="212"/>
      <c r="K29" s="212"/>
      <c r="L29" s="39"/>
      <c r="M29" s="39"/>
    </row>
    <row r="30" spans="1:18" x14ac:dyDescent="0.25">
      <c r="A30" s="578" t="s">
        <v>541</v>
      </c>
      <c r="B30" s="579"/>
      <c r="C30" s="580"/>
      <c r="J30" s="581"/>
      <c r="K30" s="581"/>
      <c r="L30" s="581"/>
      <c r="N30" s="573"/>
      <c r="O30" s="573"/>
      <c r="P30" s="573"/>
      <c r="Q30" s="573"/>
      <c r="R30" s="39"/>
    </row>
    <row r="31" spans="1:18" x14ac:dyDescent="0.25">
      <c r="A31" s="3" t="s">
        <v>542</v>
      </c>
      <c r="B31" s="31">
        <f>'Analisi dei Carichi'!J10</f>
        <v>32.755163999999994</v>
      </c>
      <c r="J31" s="18"/>
      <c r="K31" s="69"/>
      <c r="L31" s="39"/>
      <c r="N31" s="18"/>
      <c r="O31" s="300"/>
      <c r="P31" s="573"/>
      <c r="Q31" s="573"/>
      <c r="R31" s="39"/>
    </row>
    <row r="32" spans="1:18" x14ac:dyDescent="0.25">
      <c r="A32" s="3" t="s">
        <v>115</v>
      </c>
      <c r="B32" s="31">
        <f>B31*(B8^2)/10</f>
        <v>88.569963455999996</v>
      </c>
      <c r="C32" s="63">
        <v>90</v>
      </c>
      <c r="J32" s="18"/>
      <c r="K32" s="69"/>
      <c r="L32" s="300"/>
      <c r="N32" s="18"/>
      <c r="O32" s="18"/>
      <c r="P32" s="18"/>
      <c r="Q32" s="300"/>
      <c r="R32" s="39"/>
    </row>
    <row r="33" spans="1:18" x14ac:dyDescent="0.25">
      <c r="A33" s="582" t="s">
        <v>291</v>
      </c>
      <c r="B33" s="582"/>
      <c r="C33" s="582"/>
      <c r="D33" s="582"/>
      <c r="E33" s="582" t="s">
        <v>292</v>
      </c>
      <c r="F33" s="582"/>
      <c r="G33" s="582"/>
      <c r="H33" s="582"/>
      <c r="I33" s="582" t="s">
        <v>293</v>
      </c>
      <c r="J33" s="582"/>
      <c r="K33" s="582"/>
      <c r="L33" s="582"/>
      <c r="N33" s="18"/>
      <c r="O33" s="18"/>
      <c r="P33" s="18"/>
      <c r="Q33" s="18"/>
      <c r="R33" s="39"/>
    </row>
    <row r="34" spans="1:18" x14ac:dyDescent="0.25">
      <c r="A34" s="320" t="s">
        <v>114</v>
      </c>
      <c r="B34" s="107">
        <f>E26</f>
        <v>226.67658741774832</v>
      </c>
      <c r="C34" s="15"/>
      <c r="D34" s="136"/>
      <c r="E34" s="320" t="s">
        <v>114</v>
      </c>
      <c r="F34" s="107">
        <f>E23</f>
        <v>140.05213377957807</v>
      </c>
      <c r="G34" s="15"/>
      <c r="H34" s="136"/>
      <c r="I34" s="320" t="s">
        <v>114</v>
      </c>
      <c r="J34" s="107">
        <f>E21</f>
        <v>25.321683153195817</v>
      </c>
      <c r="K34" s="15"/>
      <c r="L34" s="136"/>
      <c r="N34" s="18"/>
      <c r="O34" s="18"/>
      <c r="P34" s="18"/>
      <c r="Q34" s="18"/>
      <c r="R34" s="39"/>
    </row>
    <row r="35" spans="1:18" x14ac:dyDescent="0.25">
      <c r="A35" s="306" t="s">
        <v>116</v>
      </c>
      <c r="B35" s="61">
        <v>280</v>
      </c>
      <c r="C35" s="15" t="s">
        <v>117</v>
      </c>
      <c r="D35" s="136"/>
      <c r="E35" s="306" t="s">
        <v>116</v>
      </c>
      <c r="F35" s="321">
        <v>180</v>
      </c>
      <c r="G35" s="15" t="s">
        <v>117</v>
      </c>
      <c r="H35" s="136"/>
      <c r="I35" s="306" t="s">
        <v>116</v>
      </c>
      <c r="J35" s="321">
        <v>40</v>
      </c>
      <c r="K35" s="15" t="s">
        <v>117</v>
      </c>
      <c r="L35" s="136"/>
      <c r="N35" s="18"/>
      <c r="O35" s="18"/>
      <c r="P35" s="82"/>
      <c r="Q35" s="39"/>
      <c r="R35" s="39"/>
    </row>
    <row r="36" spans="1:18" x14ac:dyDescent="0.25">
      <c r="A36" s="301" t="s">
        <v>128</v>
      </c>
      <c r="B36" s="302">
        <f>B35+$C$32</f>
        <v>370</v>
      </c>
      <c r="C36" s="15"/>
      <c r="D36" s="4"/>
      <c r="E36" s="301" t="s">
        <v>128</v>
      </c>
      <c r="F36" s="302">
        <f>F35+$C$32</f>
        <v>270</v>
      </c>
      <c r="G36" s="15"/>
      <c r="H36" s="136"/>
      <c r="I36" s="301" t="s">
        <v>128</v>
      </c>
      <c r="J36" s="302">
        <f>J35+$C$32</f>
        <v>130</v>
      </c>
      <c r="K36" s="15"/>
      <c r="L36" s="136"/>
      <c r="M36" s="159"/>
      <c r="N36" s="159"/>
      <c r="O36" s="159"/>
      <c r="P36" s="62"/>
    </row>
    <row r="37" spans="1:18" x14ac:dyDescent="0.25">
      <c r="A37" s="569" t="s">
        <v>118</v>
      </c>
      <c r="B37" s="571"/>
      <c r="C37" s="15"/>
      <c r="D37" s="136"/>
      <c r="E37" s="587" t="s">
        <v>118</v>
      </c>
      <c r="F37" s="588"/>
      <c r="G37" s="319"/>
      <c r="H37" s="136"/>
      <c r="I37" s="587" t="s">
        <v>118</v>
      </c>
      <c r="J37" s="588"/>
      <c r="K37" s="319"/>
      <c r="L37" s="136"/>
    </row>
    <row r="38" spans="1:18" x14ac:dyDescent="0.25">
      <c r="A38" s="92" t="s">
        <v>120</v>
      </c>
      <c r="B38" s="122">
        <f>B36</f>
        <v>370</v>
      </c>
      <c r="C38" s="585" t="s">
        <v>119</v>
      </c>
      <c r="D38" s="586"/>
      <c r="E38" s="92" t="s">
        <v>120</v>
      </c>
      <c r="F38" s="122">
        <f>F36</f>
        <v>270</v>
      </c>
      <c r="G38" s="585" t="s">
        <v>119</v>
      </c>
      <c r="H38" s="586"/>
      <c r="I38" s="92" t="s">
        <v>120</v>
      </c>
      <c r="J38" s="122">
        <f>J36</f>
        <v>130</v>
      </c>
      <c r="K38" s="585" t="s">
        <v>119</v>
      </c>
      <c r="L38" s="586"/>
    </row>
    <row r="39" spans="1:18" x14ac:dyDescent="0.25">
      <c r="A39" s="92" t="s">
        <v>121</v>
      </c>
      <c r="B39" s="37">
        <v>0.3</v>
      </c>
      <c r="C39" s="583" t="s">
        <v>124</v>
      </c>
      <c r="D39" s="584"/>
      <c r="E39" s="92" t="s">
        <v>121</v>
      </c>
      <c r="F39" s="37">
        <v>0.3</v>
      </c>
      <c r="G39" s="583" t="s">
        <v>124</v>
      </c>
      <c r="H39" s="584"/>
      <c r="I39" s="92" t="s">
        <v>121</v>
      </c>
      <c r="J39" s="37">
        <v>0.3</v>
      </c>
      <c r="K39" s="583" t="s">
        <v>124</v>
      </c>
      <c r="L39" s="584"/>
    </row>
    <row r="40" spans="1:18" x14ac:dyDescent="0.25">
      <c r="A40" s="92" t="s">
        <v>122</v>
      </c>
      <c r="B40" s="37">
        <v>25</v>
      </c>
      <c r="C40" s="309" t="s">
        <v>125</v>
      </c>
      <c r="D40" s="318">
        <f>B42*SQRT(B38/B39)</f>
        <v>0.63213922517116439</v>
      </c>
      <c r="E40" s="92" t="s">
        <v>122</v>
      </c>
      <c r="F40" s="37">
        <v>25</v>
      </c>
      <c r="G40" s="309" t="s">
        <v>125</v>
      </c>
      <c r="H40" s="318">
        <f>F42*SQRT(F38/F39)</f>
        <v>0.53999999999999992</v>
      </c>
      <c r="I40" s="92" t="s">
        <v>122</v>
      </c>
      <c r="J40" s="37">
        <v>25</v>
      </c>
      <c r="K40" s="309" t="s">
        <v>125</v>
      </c>
      <c r="L40" s="318">
        <f>J42*SQRT(J38/J39)</f>
        <v>0.37469987990390391</v>
      </c>
    </row>
    <row r="41" spans="1:18" x14ac:dyDescent="0.25">
      <c r="A41" s="92" t="s">
        <v>123</v>
      </c>
      <c r="B41" s="37">
        <v>0.04</v>
      </c>
      <c r="C41" s="37" t="s">
        <v>385</v>
      </c>
      <c r="D41" s="74">
        <f>D40+B41</f>
        <v>0.67213922517116442</v>
      </c>
      <c r="E41" s="92" t="s">
        <v>123</v>
      </c>
      <c r="F41" s="37">
        <v>0.04</v>
      </c>
      <c r="G41" s="37" t="s">
        <v>385</v>
      </c>
      <c r="H41" s="74">
        <f>H40+F41</f>
        <v>0.57999999999999996</v>
      </c>
      <c r="I41" s="92" t="s">
        <v>123</v>
      </c>
      <c r="J41" s="37">
        <v>0.04</v>
      </c>
      <c r="K41" s="37" t="s">
        <v>116</v>
      </c>
      <c r="L41" s="74">
        <f>L40+J41</f>
        <v>0.41469987990390389</v>
      </c>
    </row>
    <row r="42" spans="1:18" x14ac:dyDescent="0.25">
      <c r="A42" s="203" t="s">
        <v>126</v>
      </c>
      <c r="B42" s="204">
        <v>1.7999999999999999E-2</v>
      </c>
      <c r="C42" s="304" t="s">
        <v>127</v>
      </c>
      <c r="D42" s="305" t="s">
        <v>65</v>
      </c>
      <c r="E42" s="203" t="s">
        <v>126</v>
      </c>
      <c r="F42" s="204">
        <v>1.7999999999999999E-2</v>
      </c>
      <c r="G42" s="304" t="s">
        <v>127</v>
      </c>
      <c r="H42" s="305" t="s">
        <v>46</v>
      </c>
      <c r="I42" s="203" t="s">
        <v>126</v>
      </c>
      <c r="J42" s="204">
        <v>1.7999999999999999E-2</v>
      </c>
      <c r="K42" s="304" t="s">
        <v>127</v>
      </c>
      <c r="L42" s="305" t="s">
        <v>129</v>
      </c>
    </row>
    <row r="43" spans="1:18" x14ac:dyDescent="0.25">
      <c r="A43" s="300"/>
      <c r="B43" s="300"/>
      <c r="D43" s="159"/>
      <c r="E43" s="159"/>
      <c r="F43" s="159"/>
      <c r="G43" s="62"/>
    </row>
    <row r="44" spans="1:18" x14ac:dyDescent="0.25">
      <c r="A44" s="300"/>
      <c r="B44" s="300"/>
      <c r="D44" s="159"/>
      <c r="E44" s="159"/>
      <c r="F44" s="159"/>
      <c r="G44" s="62"/>
    </row>
    <row r="45" spans="1:18" x14ac:dyDescent="0.25">
      <c r="C45" s="375"/>
      <c r="D45" s="375"/>
      <c r="E45" s="204"/>
      <c r="F45" s="204"/>
      <c r="G45" s="62"/>
    </row>
    <row r="46" spans="1:18" x14ac:dyDescent="0.25">
      <c r="A46" s="112" t="s">
        <v>99</v>
      </c>
      <c r="B46" s="113" t="s">
        <v>147</v>
      </c>
      <c r="C46" s="592" t="s">
        <v>148</v>
      </c>
      <c r="D46" s="593"/>
      <c r="E46" s="594" t="s">
        <v>149</v>
      </c>
      <c r="F46" s="595"/>
      <c r="G46" s="119" t="s">
        <v>150</v>
      </c>
      <c r="I46" s="590" t="s">
        <v>152</v>
      </c>
      <c r="J46" s="591"/>
    </row>
    <row r="47" spans="1:18" x14ac:dyDescent="0.25">
      <c r="A47" s="118">
        <v>7</v>
      </c>
      <c r="B47" s="99">
        <f>D21</f>
        <v>65.836376198309125</v>
      </c>
      <c r="C47" s="249">
        <f>'Analisi dei Carichi'!AC31</f>
        <v>86.888334599999993</v>
      </c>
      <c r="D47" s="108">
        <f>'Analisi dei Carichi'!X31</f>
        <v>322.46559943199998</v>
      </c>
      <c r="E47" s="105">
        <f>'Analisi dei Carichi'!AD31</f>
        <v>60.756641999999999</v>
      </c>
      <c r="F47" s="108">
        <f>'Analisi dei Carichi'!Y31</f>
        <v>202.39344263999999</v>
      </c>
      <c r="G47" s="99">
        <f t="shared" ref="G47:G52" si="7">F21</f>
        <v>9.7391089050753141</v>
      </c>
      <c r="I47" s="1" t="s">
        <v>114</v>
      </c>
      <c r="J47" s="108">
        <f>B52</f>
        <v>307.51904970712906</v>
      </c>
    </row>
    <row r="48" spans="1:18" x14ac:dyDescent="0.25">
      <c r="A48" s="118">
        <v>6</v>
      </c>
      <c r="B48" s="100">
        <f t="shared" ref="B48:B53" si="8">D22</f>
        <v>153.56140143757574</v>
      </c>
      <c r="C48" s="107">
        <f>'Analisi dei Carichi'!AC32</f>
        <v>173.77666919999999</v>
      </c>
      <c r="D48" s="109">
        <f>'Analisi dei Carichi'!X32</f>
        <v>644.93119886399995</v>
      </c>
      <c r="E48" s="106">
        <f>'Analisi dei Carichi'!AD32</f>
        <v>121.513284</v>
      </c>
      <c r="F48" s="109">
        <f>'Analisi dei Carichi'!Y32</f>
        <v>404.78688527999998</v>
      </c>
      <c r="G48" s="100">
        <f t="shared" si="7"/>
        <v>42.194401454762421</v>
      </c>
      <c r="I48" s="2" t="s">
        <v>151</v>
      </c>
      <c r="J48" s="109">
        <f>E52-G52</f>
        <v>33.502801242327223</v>
      </c>
    </row>
    <row r="49" spans="1:20" x14ac:dyDescent="0.25">
      <c r="A49" s="118">
        <v>5</v>
      </c>
      <c r="B49" s="100">
        <f t="shared" si="8"/>
        <v>210.57414638932724</v>
      </c>
      <c r="C49" s="107">
        <f>'Analisi dei Carichi'!AC33</f>
        <v>260.66500379999997</v>
      </c>
      <c r="D49" s="109">
        <f>'Analisi dei Carichi'!X33</f>
        <v>967.39679829599993</v>
      </c>
      <c r="E49" s="106">
        <f>'Analisi dei Carichi'!AD33</f>
        <v>182.269926</v>
      </c>
      <c r="F49" s="109">
        <f>'Analisi dei Carichi'!Y33</f>
        <v>607.18032791999997</v>
      </c>
      <c r="G49" s="100">
        <f t="shared" si="7"/>
        <v>96.060606754600144</v>
      </c>
      <c r="I49" s="2"/>
      <c r="J49" s="111"/>
    </row>
    <row r="50" spans="1:20" x14ac:dyDescent="0.25">
      <c r="A50" s="118">
        <v>4</v>
      </c>
      <c r="B50" s="100">
        <f t="shared" si="8"/>
        <v>253.33370510314086</v>
      </c>
      <c r="C50" s="107">
        <f>'Analisi dei Carichi'!AC34</f>
        <v>347.55333839999997</v>
      </c>
      <c r="D50" s="109">
        <f>'Analisi dei Carichi'!X34</f>
        <v>1289.8623977279999</v>
      </c>
      <c r="E50" s="106">
        <f>'Analisi dei Carichi'!AD34</f>
        <v>243.026568</v>
      </c>
      <c r="F50" s="109">
        <f>'Analisi dei Carichi'!Y34</f>
        <v>809.57377055999996</v>
      </c>
      <c r="G50" s="100">
        <f t="shared" si="7"/>
        <v>164.68602857301258</v>
      </c>
      <c r="I50" s="2" t="s">
        <v>114</v>
      </c>
      <c r="J50" s="109">
        <f>B52</f>
        <v>307.51904970712906</v>
      </c>
    </row>
    <row r="51" spans="1:20" x14ac:dyDescent="0.25">
      <c r="A51" s="118">
        <v>3</v>
      </c>
      <c r="B51" s="100">
        <f t="shared" si="8"/>
        <v>281.84007757901657</v>
      </c>
      <c r="C51" s="107">
        <f>'Analisi dei Carichi'!AC35</f>
        <v>434.44167299999998</v>
      </c>
      <c r="D51" s="109">
        <f>'Analisi dei Carichi'!X35</f>
        <v>1612.32799716</v>
      </c>
      <c r="E51" s="106">
        <f>'Analisi dei Carichi'!AD35</f>
        <v>303.78321</v>
      </c>
      <c r="F51" s="109">
        <f>'Analisi dei Carichi'!Y35</f>
        <v>1011.9672131999999</v>
      </c>
      <c r="G51" s="100">
        <f t="shared" si="7"/>
        <v>243.85374790469268</v>
      </c>
      <c r="I51" s="33" t="s">
        <v>153</v>
      </c>
      <c r="J51" s="110">
        <f>F52+G52</f>
        <v>1545.3977065976728</v>
      </c>
    </row>
    <row r="52" spans="1:20" x14ac:dyDescent="0.25">
      <c r="A52" s="118">
        <v>2</v>
      </c>
      <c r="B52" s="100">
        <f t="shared" si="8"/>
        <v>307.51904970712906</v>
      </c>
      <c r="C52" s="107">
        <f>'Analisi dei Carichi'!AC36</f>
        <v>521.33000759999993</v>
      </c>
      <c r="D52" s="109">
        <f>'Analisi dei Carichi'!X36</f>
        <v>1934.7935965919999</v>
      </c>
      <c r="E52" s="237">
        <f>'Analisi dei Carichi'!AD36</f>
        <v>364.539852</v>
      </c>
      <c r="F52" s="109">
        <f>'Analisi dei Carichi'!Y36</f>
        <v>1214.3606558399999</v>
      </c>
      <c r="G52" s="381">
        <f t="shared" si="7"/>
        <v>331.03705075767277</v>
      </c>
      <c r="I52" s="82"/>
      <c r="J52" s="226"/>
      <c r="R52" s="82"/>
      <c r="S52" s="226"/>
    </row>
    <row r="53" spans="1:20" x14ac:dyDescent="0.25">
      <c r="A53" s="118" t="s">
        <v>230</v>
      </c>
      <c r="B53" s="100">
        <f t="shared" si="8"/>
        <v>354.82967273899499</v>
      </c>
      <c r="C53" s="222"/>
      <c r="D53" s="223"/>
      <c r="E53" s="225"/>
      <c r="F53" s="223"/>
      <c r="G53" s="224"/>
      <c r="I53" s="82"/>
      <c r="J53" s="226"/>
      <c r="R53" s="82"/>
      <c r="S53" s="226"/>
    </row>
    <row r="54" spans="1:20" ht="15" customHeight="1" x14ac:dyDescent="0.25">
      <c r="A54" s="118">
        <v>1</v>
      </c>
      <c r="B54" s="217"/>
      <c r="C54" s="221"/>
      <c r="D54" s="205"/>
      <c r="E54" s="33"/>
      <c r="F54" s="205"/>
      <c r="G54" s="217"/>
      <c r="P54" s="490"/>
      <c r="Q54" s="490"/>
      <c r="R54" s="490"/>
      <c r="S54" s="490"/>
      <c r="T54" s="490"/>
    </row>
    <row r="55" spans="1:20" ht="15" customHeight="1" x14ac:dyDescent="0.25">
      <c r="C55" s="380" t="s">
        <v>388</v>
      </c>
      <c r="D55" s="380" t="s">
        <v>390</v>
      </c>
      <c r="E55" s="380" t="s">
        <v>388</v>
      </c>
      <c r="F55" s="380" t="s">
        <v>390</v>
      </c>
      <c r="I55" s="597" t="s">
        <v>525</v>
      </c>
      <c r="J55" s="598"/>
      <c r="P55" s="490"/>
      <c r="Q55" s="490"/>
      <c r="R55" s="490"/>
      <c r="S55" s="490"/>
      <c r="T55" s="490"/>
    </row>
    <row r="56" spans="1:20" ht="15" customHeight="1" x14ac:dyDescent="0.25">
      <c r="C56" s="380" t="s">
        <v>389</v>
      </c>
      <c r="D56" s="380" t="s">
        <v>389</v>
      </c>
      <c r="E56" s="380" t="s">
        <v>389</v>
      </c>
      <c r="F56" s="380" t="s">
        <v>389</v>
      </c>
      <c r="P56" s="490"/>
      <c r="Q56" s="490"/>
      <c r="R56" s="490"/>
      <c r="S56" s="490"/>
      <c r="T56" s="490"/>
    </row>
    <row r="57" spans="1:20" ht="15" customHeight="1" x14ac:dyDescent="0.25">
      <c r="P57" s="490"/>
      <c r="Q57" s="490"/>
      <c r="R57" s="490"/>
      <c r="S57" s="490"/>
      <c r="T57" s="490"/>
    </row>
    <row r="58" spans="1:20" ht="15" customHeight="1" x14ac:dyDescent="0.25">
      <c r="P58" s="490"/>
      <c r="Q58" s="490"/>
      <c r="R58" s="490"/>
      <c r="S58" s="490"/>
      <c r="T58" s="490"/>
    </row>
    <row r="59" spans="1:20" ht="15" customHeight="1" x14ac:dyDescent="0.25">
      <c r="P59" s="490"/>
      <c r="Q59" s="490"/>
      <c r="R59" s="490"/>
      <c r="S59" s="490"/>
      <c r="T59" s="490"/>
    </row>
    <row r="60" spans="1:20" ht="15" customHeight="1" x14ac:dyDescent="0.25">
      <c r="P60" s="491"/>
      <c r="Q60" s="491"/>
      <c r="R60" s="491"/>
      <c r="S60" s="491"/>
      <c r="T60" s="491"/>
    </row>
    <row r="61" spans="1:20" ht="15" customHeight="1" x14ac:dyDescent="0.25">
      <c r="P61" s="491"/>
      <c r="Q61" s="491"/>
      <c r="R61" s="491"/>
      <c r="S61" s="491"/>
      <c r="T61" s="491"/>
    </row>
    <row r="63" spans="1:20" x14ac:dyDescent="0.25">
      <c r="A63" s="596"/>
      <c r="B63" s="573"/>
      <c r="C63" s="573"/>
      <c r="D63" s="573"/>
      <c r="E63" s="15"/>
      <c r="F63" s="15"/>
      <c r="G63" s="15"/>
      <c r="H63" s="15"/>
      <c r="I63" s="15"/>
      <c r="J63" s="15"/>
      <c r="K63" s="15"/>
      <c r="L63" s="15"/>
    </row>
    <row r="64" spans="1:20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1:12" x14ac:dyDescent="0.25">
      <c r="A65" s="319"/>
      <c r="B65" s="589"/>
      <c r="C65" s="589"/>
      <c r="D65" s="319"/>
      <c r="E65" s="319"/>
      <c r="F65" s="319"/>
      <c r="G65" s="319"/>
      <c r="H65" s="319"/>
      <c r="I65" s="319"/>
      <c r="J65" s="319"/>
      <c r="K65" s="15"/>
      <c r="L65" s="15"/>
    </row>
    <row r="66" spans="1:12" x14ac:dyDescent="0.25">
      <c r="A66" s="81"/>
      <c r="B66" s="81"/>
      <c r="C66" s="81"/>
      <c r="D66" s="81"/>
      <c r="E66" s="81"/>
      <c r="F66" s="81"/>
      <c r="G66" s="81"/>
      <c r="H66" s="517"/>
      <c r="I66" s="517"/>
      <c r="J66" s="517"/>
      <c r="K66" s="512"/>
      <c r="L66" s="512"/>
    </row>
    <row r="67" spans="1:12" x14ac:dyDescent="0.25">
      <c r="A67" s="209"/>
      <c r="B67" s="209"/>
      <c r="C67" s="227"/>
      <c r="D67" s="227"/>
      <c r="E67" s="228"/>
      <c r="F67" s="209"/>
      <c r="G67" s="227"/>
      <c r="H67" s="227"/>
      <c r="I67" s="209"/>
      <c r="J67" s="209"/>
      <c r="K67" s="513"/>
      <c r="L67" s="213"/>
    </row>
    <row r="68" spans="1:12" x14ac:dyDescent="0.25">
      <c r="A68" s="209"/>
      <c r="B68" s="209"/>
      <c r="C68" s="227"/>
      <c r="D68" s="227"/>
      <c r="E68" s="228"/>
      <c r="F68" s="209"/>
      <c r="G68" s="227"/>
      <c r="H68" s="227"/>
      <c r="I68" s="209"/>
      <c r="J68" s="209"/>
      <c r="K68" s="513"/>
      <c r="L68" s="513"/>
    </row>
    <row r="69" spans="1:12" x14ac:dyDescent="0.25">
      <c r="A69" s="209"/>
      <c r="B69" s="209"/>
      <c r="C69" s="227"/>
      <c r="D69" s="227"/>
      <c r="E69" s="228"/>
      <c r="F69" s="209"/>
      <c r="G69" s="227"/>
      <c r="H69" s="227"/>
      <c r="I69" s="209"/>
      <c r="J69" s="209"/>
      <c r="K69" s="513"/>
      <c r="L69" s="455"/>
    </row>
    <row r="70" spans="1:12" x14ac:dyDescent="0.25">
      <c r="A70" s="209"/>
      <c r="B70" s="209"/>
      <c r="C70" s="227"/>
      <c r="D70" s="227"/>
      <c r="E70" s="228"/>
      <c r="F70" s="209"/>
      <c r="G70" s="227"/>
      <c r="H70" s="227"/>
      <c r="I70" s="209"/>
      <c r="J70" s="209"/>
      <c r="K70" s="15"/>
      <c r="L70" s="15"/>
    </row>
    <row r="71" spans="1:12" x14ac:dyDescent="0.25">
      <c r="A71" s="209"/>
      <c r="B71" s="209"/>
      <c r="C71" s="227"/>
      <c r="D71" s="227"/>
      <c r="E71" s="228"/>
      <c r="F71" s="209"/>
      <c r="G71" s="227"/>
      <c r="H71" s="227"/>
      <c r="I71" s="209"/>
      <c r="J71" s="209"/>
      <c r="K71" s="512"/>
      <c r="L71" s="512"/>
    </row>
    <row r="72" spans="1:12" x14ac:dyDescent="0.25">
      <c r="A72" s="209"/>
      <c r="B72" s="209"/>
      <c r="C72" s="227"/>
      <c r="D72" s="227"/>
      <c r="E72" s="228"/>
      <c r="F72" s="209"/>
      <c r="G72" s="227"/>
      <c r="H72" s="227"/>
      <c r="I72" s="209"/>
      <c r="J72" s="209"/>
      <c r="K72" s="513"/>
      <c r="L72" s="512"/>
    </row>
    <row r="73" spans="1:12" x14ac:dyDescent="0.25">
      <c r="A73" s="88"/>
      <c r="B73" s="88"/>
      <c r="C73" s="210"/>
      <c r="D73" s="210"/>
      <c r="E73" s="518"/>
      <c r="F73" s="88"/>
      <c r="G73" s="210"/>
      <c r="H73" s="210"/>
      <c r="I73" s="88"/>
      <c r="J73" s="88"/>
      <c r="K73" s="513"/>
      <c r="L73" s="512"/>
    </row>
    <row r="74" spans="1:12" x14ac:dyDescent="0.25">
      <c r="A74" s="82"/>
      <c r="B74" s="82"/>
      <c r="C74" s="82"/>
      <c r="D74" s="82"/>
      <c r="E74" s="82"/>
      <c r="F74" s="82"/>
      <c r="G74" s="82"/>
      <c r="H74" s="82"/>
      <c r="I74" s="82"/>
      <c r="J74" s="82"/>
      <c r="K74" s="513"/>
      <c r="L74" s="512"/>
    </row>
    <row r="75" spans="1:12" x14ac:dyDescent="0.25">
      <c r="A75" s="82"/>
      <c r="B75" s="589"/>
      <c r="C75" s="589"/>
      <c r="D75" s="82"/>
      <c r="E75" s="82"/>
      <c r="F75" s="82"/>
      <c r="G75" s="82"/>
      <c r="H75" s="82"/>
      <c r="I75" s="82"/>
      <c r="J75" s="82"/>
      <c r="K75" s="15"/>
      <c r="L75" s="15"/>
    </row>
    <row r="76" spans="1:12" x14ac:dyDescent="0.25">
      <c r="A76" s="81"/>
      <c r="B76" s="81"/>
      <c r="C76" s="81"/>
      <c r="D76" s="81"/>
      <c r="E76" s="81"/>
      <c r="F76" s="81"/>
      <c r="G76" s="81"/>
      <c r="H76" s="517"/>
      <c r="I76" s="517"/>
      <c r="J76" s="517"/>
      <c r="K76" s="15"/>
      <c r="L76" s="15"/>
    </row>
    <row r="77" spans="1:12" x14ac:dyDescent="0.25">
      <c r="A77" s="209"/>
      <c r="B77" s="209"/>
      <c r="C77" s="227"/>
      <c r="D77" s="227"/>
      <c r="E77" s="228"/>
      <c r="F77" s="209"/>
      <c r="G77" s="227"/>
      <c r="H77" s="227"/>
      <c r="I77" s="209"/>
      <c r="J77" s="209"/>
      <c r="K77" s="512"/>
      <c r="L77" s="512"/>
    </row>
    <row r="78" spans="1:12" x14ac:dyDescent="0.25">
      <c r="A78" s="209"/>
      <c r="B78" s="209"/>
      <c r="C78" s="227"/>
      <c r="D78" s="227"/>
      <c r="E78" s="228"/>
      <c r="F78" s="209"/>
      <c r="G78" s="227"/>
      <c r="H78" s="227"/>
      <c r="I78" s="209"/>
      <c r="J78" s="209"/>
      <c r="K78" s="513"/>
      <c r="L78" s="213"/>
    </row>
    <row r="79" spans="1:12" x14ac:dyDescent="0.25">
      <c r="A79" s="209"/>
      <c r="B79" s="209"/>
      <c r="C79" s="227"/>
      <c r="D79" s="227"/>
      <c r="E79" s="228"/>
      <c r="F79" s="209"/>
      <c r="G79" s="227"/>
      <c r="H79" s="227"/>
      <c r="I79" s="209"/>
      <c r="J79" s="209"/>
      <c r="K79" s="513"/>
      <c r="L79" s="513"/>
    </row>
    <row r="80" spans="1:12" x14ac:dyDescent="0.25">
      <c r="A80" s="209"/>
      <c r="B80" s="209"/>
      <c r="C80" s="227"/>
      <c r="D80" s="227"/>
      <c r="E80" s="228"/>
      <c r="F80" s="209"/>
      <c r="G80" s="227"/>
      <c r="H80" s="227"/>
      <c r="I80" s="209"/>
      <c r="J80" s="209"/>
      <c r="K80" s="513"/>
      <c r="L80" s="455"/>
    </row>
    <row r="81" spans="1:12" x14ac:dyDescent="0.25">
      <c r="A81" s="209"/>
      <c r="B81" s="209"/>
      <c r="C81" s="227"/>
      <c r="D81" s="227"/>
      <c r="E81" s="228"/>
      <c r="F81" s="209"/>
      <c r="G81" s="227"/>
      <c r="H81" s="227"/>
      <c r="I81" s="209"/>
      <c r="J81" s="209"/>
      <c r="K81" s="15"/>
      <c r="L81" s="15"/>
    </row>
    <row r="82" spans="1:12" x14ac:dyDescent="0.25">
      <c r="A82" s="209"/>
      <c r="B82" s="209"/>
      <c r="C82" s="227"/>
      <c r="D82" s="227"/>
      <c r="E82" s="228"/>
      <c r="F82" s="209"/>
      <c r="G82" s="227"/>
      <c r="H82" s="227"/>
      <c r="I82" s="209"/>
      <c r="J82" s="209"/>
      <c r="K82" s="15"/>
      <c r="L82" s="15"/>
    </row>
    <row r="83" spans="1:12" x14ac:dyDescent="0.25">
      <c r="A83" s="209"/>
      <c r="B83" s="209"/>
      <c r="C83" s="210"/>
      <c r="D83" s="210"/>
      <c r="E83" s="518"/>
      <c r="F83" s="88"/>
      <c r="G83" s="210"/>
      <c r="H83" s="210"/>
      <c r="I83" s="88"/>
      <c r="J83" s="88"/>
      <c r="K83" s="39"/>
      <c r="L83" s="15"/>
    </row>
    <row r="84" spans="1:12" x14ac:dyDescent="0.25">
      <c r="C84" s="70"/>
      <c r="D84" s="70"/>
      <c r="E84" s="70"/>
      <c r="F84" s="70"/>
      <c r="G84" s="70"/>
      <c r="H84" s="70"/>
      <c r="I84" s="70"/>
      <c r="J84" s="70"/>
      <c r="K84" s="70"/>
    </row>
    <row r="85" spans="1:12" x14ac:dyDescent="0.25">
      <c r="C85" s="70"/>
      <c r="D85" s="70"/>
      <c r="E85" s="70"/>
      <c r="F85" s="70"/>
      <c r="G85" s="70"/>
      <c r="H85" s="70"/>
      <c r="I85" s="70"/>
      <c r="J85" s="70"/>
      <c r="K85" s="70"/>
    </row>
  </sheetData>
  <mergeCells count="28">
    <mergeCell ref="B65:C65"/>
    <mergeCell ref="B75:C75"/>
    <mergeCell ref="I46:J46"/>
    <mergeCell ref="C46:D46"/>
    <mergeCell ref="E46:F46"/>
    <mergeCell ref="A63:D63"/>
    <mergeCell ref="I55:J55"/>
    <mergeCell ref="A37:B37"/>
    <mergeCell ref="A33:D33"/>
    <mergeCell ref="C39:D39"/>
    <mergeCell ref="C38:D38"/>
    <mergeCell ref="J30:L30"/>
    <mergeCell ref="G38:H38"/>
    <mergeCell ref="G39:H39"/>
    <mergeCell ref="E37:F37"/>
    <mergeCell ref="E33:H33"/>
    <mergeCell ref="I33:L33"/>
    <mergeCell ref="I37:J37"/>
    <mergeCell ref="K38:L38"/>
    <mergeCell ref="K39:L39"/>
    <mergeCell ref="N30:O30"/>
    <mergeCell ref="P30:Q30"/>
    <mergeCell ref="P31:Q31"/>
    <mergeCell ref="A2:B2"/>
    <mergeCell ref="A19:F19"/>
    <mergeCell ref="A30:C30"/>
    <mergeCell ref="J23:L23"/>
    <mergeCell ref="J26:L26"/>
  </mergeCells>
  <pageMargins left="0.7" right="0.7" top="0.75" bottom="0.75" header="0.3" footer="0.3"/>
  <pageSetup paperSize="9" orientation="portrait" r:id="rId1"/>
  <ignoredErrors>
    <ignoredError sqref="D21:D26" formula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4"/>
  <sheetViews>
    <sheetView topLeftCell="A4" zoomScale="60" zoomScaleNormal="60" workbookViewId="0">
      <selection activeCell="G30" sqref="G30"/>
    </sheetView>
  </sheetViews>
  <sheetFormatPr defaultRowHeight="15" x14ac:dyDescent="0.25"/>
  <cols>
    <col min="1" max="1" width="25.42578125" customWidth="1"/>
    <col min="2" max="2" width="18.140625" customWidth="1"/>
    <col min="3" max="3" width="11.85546875" customWidth="1"/>
    <col min="4" max="4" width="16.5703125" customWidth="1"/>
    <col min="5" max="5" width="14" customWidth="1"/>
    <col min="6" max="6" width="15.5703125" customWidth="1"/>
    <col min="7" max="7" width="16.85546875" customWidth="1"/>
    <col min="8" max="8" width="21.140625" customWidth="1"/>
    <col min="9" max="9" width="16" customWidth="1"/>
    <col min="10" max="10" width="16.5703125" customWidth="1"/>
    <col min="11" max="11" width="16.42578125" customWidth="1"/>
    <col min="12" max="12" width="14.5703125" customWidth="1"/>
    <col min="13" max="13" width="18.42578125" customWidth="1"/>
    <col min="15" max="15" width="21" customWidth="1"/>
    <col min="16" max="16" width="22.28515625" customWidth="1"/>
    <col min="18" max="18" width="12.28515625" customWidth="1"/>
    <col min="19" max="19" width="12.7109375" customWidth="1"/>
    <col min="20" max="20" width="13.7109375" customWidth="1"/>
    <col min="21" max="21" width="20.42578125" customWidth="1"/>
    <col min="22" max="22" width="19.140625" customWidth="1"/>
  </cols>
  <sheetData>
    <row r="1" spans="1:20" x14ac:dyDescent="0.25">
      <c r="A1" s="574" t="s">
        <v>154</v>
      </c>
      <c r="B1" s="574"/>
      <c r="I1" s="56" t="s">
        <v>185</v>
      </c>
      <c r="J1" s="56" t="s">
        <v>186</v>
      </c>
      <c r="K1" s="56" t="s">
        <v>187</v>
      </c>
    </row>
    <row r="2" spans="1:20" x14ac:dyDescent="0.25">
      <c r="A2" s="3" t="s">
        <v>155</v>
      </c>
      <c r="B2" s="127">
        <v>13</v>
      </c>
      <c r="I2" s="121">
        <v>7</v>
      </c>
      <c r="J2" s="76">
        <f>S25</f>
        <v>304.36024872198828</v>
      </c>
      <c r="K2" s="76">
        <f>Y26</f>
        <v>319.51268579109473</v>
      </c>
    </row>
    <row r="3" spans="1:20" x14ac:dyDescent="0.25">
      <c r="A3" s="3" t="s">
        <v>156</v>
      </c>
      <c r="B3" s="3">
        <v>11</v>
      </c>
      <c r="I3" s="306">
        <v>6</v>
      </c>
      <c r="J3" s="100">
        <f>E25</f>
        <v>406.85989713978176</v>
      </c>
      <c r="K3" s="100">
        <f>K26</f>
        <v>360.38797029232103</v>
      </c>
    </row>
    <row r="4" spans="1:20" x14ac:dyDescent="0.25">
      <c r="I4" s="306">
        <v>5</v>
      </c>
      <c r="J4" s="98">
        <f>E25</f>
        <v>406.85989713978176</v>
      </c>
      <c r="K4" s="98">
        <f>K26</f>
        <v>360.38797029232103</v>
      </c>
    </row>
    <row r="5" spans="1:20" x14ac:dyDescent="0.25">
      <c r="A5" s="602" t="s">
        <v>157</v>
      </c>
      <c r="B5" s="603"/>
      <c r="I5" s="306">
        <v>4</v>
      </c>
      <c r="J5" s="98">
        <f>E44</f>
        <v>523.69315004618613</v>
      </c>
      <c r="K5" s="98">
        <f>K45</f>
        <v>471.76198505153775</v>
      </c>
    </row>
    <row r="6" spans="1:20" x14ac:dyDescent="0.25">
      <c r="A6" s="3" t="s">
        <v>158</v>
      </c>
      <c r="B6" s="127">
        <v>15</v>
      </c>
      <c r="I6" s="306">
        <v>3</v>
      </c>
      <c r="J6" s="98">
        <f>E44</f>
        <v>523.69315004618613</v>
      </c>
      <c r="K6" s="98">
        <f>K45</f>
        <v>471.76198505153775</v>
      </c>
    </row>
    <row r="7" spans="1:20" x14ac:dyDescent="0.25">
      <c r="A7" s="3" t="s">
        <v>159</v>
      </c>
      <c r="B7" s="3">
        <v>15</v>
      </c>
      <c r="I7" s="306">
        <v>2</v>
      </c>
      <c r="J7" s="98">
        <f>S49</f>
        <v>657.8178341757274</v>
      </c>
      <c r="K7" s="98">
        <f>Y50</f>
        <v>641.8287299667295</v>
      </c>
    </row>
    <row r="8" spans="1:20" x14ac:dyDescent="0.25">
      <c r="I8" s="123">
        <v>1</v>
      </c>
      <c r="J8" s="217"/>
      <c r="K8" s="217"/>
    </row>
    <row r="9" spans="1:20" x14ac:dyDescent="0.25">
      <c r="A9" s="558" t="s">
        <v>296</v>
      </c>
      <c r="B9" s="559"/>
      <c r="O9" s="558" t="s">
        <v>234</v>
      </c>
      <c r="P9" s="559"/>
      <c r="R9" s="602" t="s">
        <v>222</v>
      </c>
      <c r="S9" s="607"/>
      <c r="T9" s="603"/>
    </row>
    <row r="10" spans="1:20" x14ac:dyDescent="0.25">
      <c r="A10" s="602" t="s">
        <v>160</v>
      </c>
      <c r="B10" s="603"/>
      <c r="D10" s="602" t="s">
        <v>223</v>
      </c>
      <c r="E10" s="607"/>
      <c r="F10" s="603"/>
      <c r="G10" s="157"/>
      <c r="I10" s="172" t="s">
        <v>185</v>
      </c>
      <c r="J10" s="172" t="s">
        <v>200</v>
      </c>
      <c r="K10" s="173" t="s">
        <v>201</v>
      </c>
      <c r="O10" s="602" t="s">
        <v>160</v>
      </c>
      <c r="P10" s="603"/>
      <c r="R10" s="91" t="s">
        <v>163</v>
      </c>
      <c r="S10" s="134">
        <v>30</v>
      </c>
      <c r="T10" s="135"/>
    </row>
    <row r="11" spans="1:20" x14ac:dyDescent="0.25">
      <c r="A11" s="91" t="s">
        <v>163</v>
      </c>
      <c r="B11" s="7">
        <v>30</v>
      </c>
      <c r="D11" s="91" t="s">
        <v>163</v>
      </c>
      <c r="E11" s="134">
        <v>30</v>
      </c>
      <c r="F11" s="135"/>
      <c r="G11" s="15"/>
      <c r="I11" s="169">
        <v>7</v>
      </c>
      <c r="J11" s="99">
        <f>J2/S21</f>
        <v>11.677316659114288</v>
      </c>
      <c r="K11" s="108">
        <f>K2/Y21</f>
        <v>12.639426696455297</v>
      </c>
      <c r="O11" s="91" t="s">
        <v>163</v>
      </c>
      <c r="P11" s="7">
        <v>30</v>
      </c>
      <c r="R11" s="92" t="s">
        <v>164</v>
      </c>
      <c r="S11" s="37">
        <v>50</v>
      </c>
      <c r="T11" s="136"/>
    </row>
    <row r="12" spans="1:20" x14ac:dyDescent="0.25">
      <c r="A12" s="92" t="s">
        <v>164</v>
      </c>
      <c r="B12" s="4">
        <v>70</v>
      </c>
      <c r="D12" s="92" t="s">
        <v>164</v>
      </c>
      <c r="E12" s="37">
        <v>60</v>
      </c>
      <c r="F12" s="136"/>
      <c r="G12" s="15"/>
      <c r="I12" s="170" t="s">
        <v>298</v>
      </c>
      <c r="J12" s="100">
        <f>J4/E21</f>
        <v>13.502048317327899</v>
      </c>
      <c r="K12" s="109">
        <f>K4/K21</f>
        <v>12.321419993324939</v>
      </c>
      <c r="O12" s="92" t="s">
        <v>164</v>
      </c>
      <c r="P12" s="4">
        <v>70</v>
      </c>
      <c r="R12" s="604" t="s">
        <v>177</v>
      </c>
      <c r="S12" s="605"/>
      <c r="T12" s="606"/>
    </row>
    <row r="13" spans="1:20" x14ac:dyDescent="0.25">
      <c r="A13" s="92" t="s">
        <v>161</v>
      </c>
      <c r="B13" s="4">
        <v>3.2</v>
      </c>
      <c r="D13" s="604" t="s">
        <v>177</v>
      </c>
      <c r="E13" s="605"/>
      <c r="F13" s="606"/>
      <c r="G13" s="37"/>
      <c r="I13" s="170" t="s">
        <v>299</v>
      </c>
      <c r="J13" s="100">
        <f>J5/E40</f>
        <v>12.904629022009035</v>
      </c>
      <c r="K13" s="109">
        <f>K5/K40</f>
        <v>11.923038800321462</v>
      </c>
      <c r="O13" s="92" t="s">
        <v>161</v>
      </c>
      <c r="P13" s="4">
        <v>3.2</v>
      </c>
      <c r="R13" s="602" t="s">
        <v>310</v>
      </c>
      <c r="S13" s="607"/>
      <c r="T13" s="603"/>
    </row>
    <row r="14" spans="1:20" x14ac:dyDescent="0.25">
      <c r="A14" s="92" t="s">
        <v>162</v>
      </c>
      <c r="B14" s="4">
        <f>B11*B12^3/12</f>
        <v>857500</v>
      </c>
      <c r="G14" s="15"/>
      <c r="I14" s="171">
        <v>2</v>
      </c>
      <c r="J14" s="101">
        <f>J7/S41</f>
        <v>12.148409061945374</v>
      </c>
      <c r="K14" s="110">
        <f>K7/Y41</f>
        <v>12.020089154618725</v>
      </c>
      <c r="O14" s="92" t="s">
        <v>162</v>
      </c>
      <c r="P14" s="4">
        <f>P11*P12^3/12</f>
        <v>857500</v>
      </c>
      <c r="R14" s="91" t="s">
        <v>163</v>
      </c>
      <c r="S14" s="134">
        <v>90</v>
      </c>
      <c r="T14" s="135"/>
    </row>
    <row r="15" spans="1:20" x14ac:dyDescent="0.25">
      <c r="A15" s="92" t="s">
        <v>166</v>
      </c>
      <c r="B15" s="4">
        <v>31500</v>
      </c>
      <c r="G15" s="122"/>
      <c r="O15" s="92" t="s">
        <v>166</v>
      </c>
      <c r="P15" s="4">
        <v>31500</v>
      </c>
      <c r="R15" s="92" t="s">
        <v>164</v>
      </c>
      <c r="S15" s="37">
        <v>24</v>
      </c>
      <c r="T15" s="136"/>
    </row>
    <row r="16" spans="1:20" x14ac:dyDescent="0.25">
      <c r="A16" s="123" t="s">
        <v>165</v>
      </c>
      <c r="B16" s="124">
        <f>$B$15*B14/B13/100</f>
        <v>84410156.25</v>
      </c>
      <c r="G16" s="122"/>
      <c r="O16" s="123" t="s">
        <v>165</v>
      </c>
      <c r="P16" s="124">
        <f>$B$15*P14/P13/100</f>
        <v>84410156.25</v>
      </c>
      <c r="R16" s="604" t="s">
        <v>177</v>
      </c>
      <c r="S16" s="605"/>
      <c r="T16" s="606"/>
    </row>
    <row r="17" spans="1:25" x14ac:dyDescent="0.25">
      <c r="G17" s="157"/>
    </row>
    <row r="18" spans="1:25" x14ac:dyDescent="0.25">
      <c r="D18" s="130"/>
    </row>
    <row r="19" spans="1:25" x14ac:dyDescent="0.25">
      <c r="A19" s="600" t="s">
        <v>295</v>
      </c>
      <c r="B19" s="601"/>
      <c r="C19" s="601"/>
      <c r="D19" s="601"/>
      <c r="E19" s="601"/>
      <c r="F19" s="601"/>
      <c r="G19" s="601"/>
      <c r="H19" s="601"/>
      <c r="I19" s="601"/>
      <c r="J19" s="601"/>
      <c r="K19" s="601"/>
      <c r="L19" s="160"/>
      <c r="O19" s="600" t="s">
        <v>233</v>
      </c>
      <c r="P19" s="601"/>
      <c r="Q19" s="601"/>
      <c r="R19" s="601"/>
      <c r="S19" s="601"/>
      <c r="T19" s="601"/>
      <c r="U19" s="601"/>
      <c r="V19" s="601"/>
      <c r="W19" s="601"/>
      <c r="X19" s="601"/>
      <c r="Y19" s="608"/>
    </row>
    <row r="20" spans="1:25" x14ac:dyDescent="0.25">
      <c r="A20" s="153" t="s">
        <v>154</v>
      </c>
      <c r="B20" s="154" t="s">
        <v>176</v>
      </c>
      <c r="C20" s="154" t="s">
        <v>173</v>
      </c>
      <c r="D20" s="155" t="s">
        <v>168</v>
      </c>
      <c r="E20" s="156" t="s">
        <v>174</v>
      </c>
      <c r="G20" s="153" t="s">
        <v>154</v>
      </c>
      <c r="H20" s="154" t="s">
        <v>179</v>
      </c>
      <c r="I20" s="154" t="s">
        <v>173</v>
      </c>
      <c r="J20" s="155" t="s">
        <v>168</v>
      </c>
      <c r="K20" s="156" t="s">
        <v>174</v>
      </c>
      <c r="O20" s="153" t="s">
        <v>154</v>
      </c>
      <c r="P20" s="154" t="s">
        <v>176</v>
      </c>
      <c r="Q20" s="154" t="s">
        <v>173</v>
      </c>
      <c r="R20" s="155" t="s">
        <v>168</v>
      </c>
      <c r="S20" s="156" t="s">
        <v>174</v>
      </c>
      <c r="U20" s="153" t="s">
        <v>154</v>
      </c>
      <c r="V20" s="154" t="s">
        <v>179</v>
      </c>
      <c r="W20" s="154" t="s">
        <v>173</v>
      </c>
      <c r="X20" s="155" t="s">
        <v>168</v>
      </c>
      <c r="Y20" s="156" t="s">
        <v>174</v>
      </c>
    </row>
    <row r="21" spans="1:25" x14ac:dyDescent="0.25">
      <c r="A21" s="121" t="s">
        <v>171</v>
      </c>
      <c r="B21" s="64" t="s">
        <v>167</v>
      </c>
      <c r="C21" s="64">
        <v>2</v>
      </c>
      <c r="D21" s="131">
        <v>1</v>
      </c>
      <c r="E21" s="108">
        <f>[2]Rigidezza!$L$5</f>
        <v>30.13319813243719</v>
      </c>
      <c r="G21" s="121" t="s">
        <v>171</v>
      </c>
      <c r="H21" s="64" t="s">
        <v>167</v>
      </c>
      <c r="I21" s="64">
        <v>4</v>
      </c>
      <c r="J21" s="131">
        <v>1</v>
      </c>
      <c r="K21" s="108">
        <f>[3]Rigidezza!$L$5</f>
        <v>29.248899111267956</v>
      </c>
      <c r="O21" s="121" t="s">
        <v>171</v>
      </c>
      <c r="P21" s="64" t="s">
        <v>167</v>
      </c>
      <c r="Q21" s="347">
        <v>2</v>
      </c>
      <c r="R21" s="131">
        <v>1</v>
      </c>
      <c r="S21" s="108">
        <f>[4]Rigidezza!$L$5</f>
        <v>26.064228418814984</v>
      </c>
      <c r="U21" s="121" t="s">
        <v>171</v>
      </c>
      <c r="V21" s="64" t="s">
        <v>167</v>
      </c>
      <c r="W21" s="347">
        <v>4</v>
      </c>
      <c r="X21" s="131">
        <v>1</v>
      </c>
      <c r="Y21" s="108">
        <f>[5]Rigidezza!$L$5</f>
        <v>25.279048920842385</v>
      </c>
    </row>
    <row r="22" spans="1:25" x14ac:dyDescent="0.25">
      <c r="A22" s="65" t="s">
        <v>170</v>
      </c>
      <c r="B22" s="122" t="s">
        <v>172</v>
      </c>
      <c r="C22" s="122">
        <v>11</v>
      </c>
      <c r="D22" s="122">
        <v>0.6</v>
      </c>
      <c r="E22" s="109">
        <f>[6]Rigidezza!$L$5</f>
        <v>19.903419469754304</v>
      </c>
      <c r="G22" s="65" t="s">
        <v>170</v>
      </c>
      <c r="H22" s="122" t="s">
        <v>172</v>
      </c>
      <c r="I22" s="122">
        <v>7</v>
      </c>
      <c r="J22" s="122">
        <v>0.6</v>
      </c>
      <c r="K22" s="109">
        <f>[7]Rigidezza!$L$5</f>
        <v>15.92755761234188</v>
      </c>
      <c r="O22" s="65" t="s">
        <v>170</v>
      </c>
      <c r="P22" s="122" t="s">
        <v>172</v>
      </c>
      <c r="Q22" s="346">
        <v>10</v>
      </c>
      <c r="R22" s="122">
        <v>0.6</v>
      </c>
      <c r="S22" s="109">
        <f>[8]Rigidezza!$L$5</f>
        <v>12.58500659738788</v>
      </c>
      <c r="U22" s="65" t="s">
        <v>170</v>
      </c>
      <c r="V22" s="122" t="s">
        <v>172</v>
      </c>
      <c r="W22" s="346">
        <v>7</v>
      </c>
      <c r="X22" s="122">
        <v>0.6</v>
      </c>
      <c r="Y22" s="109">
        <f>[9]Rigidezza!$L$5</f>
        <v>13.675385806759618</v>
      </c>
    </row>
    <row r="23" spans="1:25" x14ac:dyDescent="0.25">
      <c r="A23" s="65" t="s">
        <v>169</v>
      </c>
      <c r="B23" s="122" t="s">
        <v>167</v>
      </c>
      <c r="C23" s="122">
        <v>4</v>
      </c>
      <c r="D23" s="122">
        <v>0.4</v>
      </c>
      <c r="E23" s="109">
        <f>[10]Rigidezza!$L$5</f>
        <v>12.925906090782766</v>
      </c>
      <c r="G23" s="65" t="s">
        <v>169</v>
      </c>
      <c r="H23" s="122" t="s">
        <v>167</v>
      </c>
      <c r="I23" s="122">
        <v>4</v>
      </c>
      <c r="J23" s="122">
        <v>0.4</v>
      </c>
      <c r="K23" s="109">
        <f>[11]Rigidezza!$L$5</f>
        <v>12.480783206618959</v>
      </c>
      <c r="O23" s="65" t="s">
        <v>169</v>
      </c>
      <c r="P23" s="122" t="s">
        <v>167</v>
      </c>
      <c r="Q23" s="346">
        <v>4</v>
      </c>
      <c r="R23" s="122">
        <v>0.4</v>
      </c>
      <c r="S23" s="109">
        <f>[12]Rigidezza!$L$5</f>
        <v>11.977099944989302</v>
      </c>
      <c r="U23" s="65" t="s">
        <v>169</v>
      </c>
      <c r="V23" s="122" t="s">
        <v>167</v>
      </c>
      <c r="W23" s="346">
        <v>4</v>
      </c>
      <c r="X23" s="122">
        <v>0.4</v>
      </c>
      <c r="Y23" s="109">
        <f>[13]Rigidezza!$L$5</f>
        <v>11.500374618622947</v>
      </c>
    </row>
    <row r="24" spans="1:25" x14ac:dyDescent="0.25">
      <c r="A24" s="123" t="s">
        <v>169</v>
      </c>
      <c r="B24" s="67" t="s">
        <v>172</v>
      </c>
      <c r="C24" s="67">
        <v>7</v>
      </c>
      <c r="D24" s="67">
        <v>0.32</v>
      </c>
      <c r="E24" s="110">
        <f>[14]Rigidezza!$L$5</f>
        <v>10.850323192068428</v>
      </c>
      <c r="G24" s="65" t="s">
        <v>169</v>
      </c>
      <c r="H24" s="122" t="s">
        <v>172</v>
      </c>
      <c r="I24" s="122">
        <v>7</v>
      </c>
      <c r="J24" s="122">
        <v>0.32</v>
      </c>
      <c r="K24" s="109">
        <f>[15]Rigidezza!$L$5</f>
        <v>10.850323192068428</v>
      </c>
      <c r="O24" s="123" t="s">
        <v>169</v>
      </c>
      <c r="P24" s="67" t="s">
        <v>172</v>
      </c>
      <c r="Q24" s="345">
        <v>8</v>
      </c>
      <c r="R24" s="67">
        <v>0.32</v>
      </c>
      <c r="S24" s="110">
        <f>[16]Rigidezza!$L$5</f>
        <v>9.8091657663152887</v>
      </c>
      <c r="U24" s="65" t="s">
        <v>169</v>
      </c>
      <c r="V24" s="122" t="s">
        <v>172</v>
      </c>
      <c r="W24" s="346">
        <v>7</v>
      </c>
      <c r="X24" s="122">
        <v>0.32</v>
      </c>
      <c r="Y24" s="109">
        <f>[17]Rigidezza!$L$5</f>
        <v>9.8091657663152887</v>
      </c>
    </row>
    <row r="25" spans="1:25" x14ac:dyDescent="0.25">
      <c r="B25" s="66" t="s">
        <v>175</v>
      </c>
      <c r="C25" s="66">
        <f>C21+C22+C23+C24</f>
        <v>24</v>
      </c>
      <c r="D25" s="132" t="s">
        <v>178</v>
      </c>
      <c r="E25" s="133">
        <f>(E21*C21)+(E22*C22)+(E23*C23)+(E24*C24)</f>
        <v>406.85989713978176</v>
      </c>
      <c r="G25" s="123" t="s">
        <v>170</v>
      </c>
      <c r="H25" s="152" t="s">
        <v>180</v>
      </c>
      <c r="I25" s="152">
        <v>2</v>
      </c>
      <c r="J25" s="152">
        <v>7.0000000000000007E-2</v>
      </c>
      <c r="K25" s="110">
        <f>[18]Rigidezza!$L$5</f>
        <v>3.0120376949506205</v>
      </c>
      <c r="P25" s="66" t="s">
        <v>175</v>
      </c>
      <c r="Q25" s="66">
        <f>Q21+Q22+Q23+Q24</f>
        <v>24</v>
      </c>
      <c r="R25" s="132" t="s">
        <v>178</v>
      </c>
      <c r="S25" s="133">
        <f>(S21*Q21)+(S22*Q22)+(S23*Q23)+(S24*Q24)</f>
        <v>304.36024872198828</v>
      </c>
      <c r="U25" s="123" t="s">
        <v>169</v>
      </c>
      <c r="V25" s="152" t="s">
        <v>180</v>
      </c>
      <c r="W25" s="152">
        <v>2</v>
      </c>
      <c r="X25" s="152">
        <v>7.0000000000000007E-2</v>
      </c>
      <c r="Y25" s="110">
        <f>[19]Rigidezza!$L$5</f>
        <v>4.0015653108545362</v>
      </c>
    </row>
    <row r="26" spans="1:25" x14ac:dyDescent="0.25">
      <c r="H26" s="66" t="s">
        <v>175</v>
      </c>
      <c r="I26" s="66">
        <f>I21+I22+I23+I24+I25</f>
        <v>24</v>
      </c>
      <c r="J26" s="137" t="s">
        <v>178</v>
      </c>
      <c r="K26" s="138">
        <f>(K21*I21)+(K22*I22)+(K23*I23)+(K24*I24)+(I25*K25)</f>
        <v>360.38797029232103</v>
      </c>
      <c r="V26" s="66" t="s">
        <v>175</v>
      </c>
      <c r="W26" s="66">
        <f>W21+W22+W23+W24+W25</f>
        <v>24</v>
      </c>
      <c r="X26" s="137" t="s">
        <v>178</v>
      </c>
      <c r="Y26" s="138">
        <f>(Y21*W21)+(Y22*W22)+(Y23*W23)+(Y24*W24)+(W25*Y25)</f>
        <v>319.51268579109473</v>
      </c>
    </row>
    <row r="28" spans="1:25" x14ac:dyDescent="0.25">
      <c r="A28" s="558" t="s">
        <v>296</v>
      </c>
      <c r="B28" s="559"/>
      <c r="I28" s="300"/>
      <c r="J28" s="300"/>
      <c r="K28" s="300"/>
      <c r="O28" s="558" t="s">
        <v>232</v>
      </c>
      <c r="P28" s="559"/>
    </row>
    <row r="29" spans="1:25" x14ac:dyDescent="0.25">
      <c r="A29" s="602" t="s">
        <v>160</v>
      </c>
      <c r="B29" s="603"/>
      <c r="D29" s="602" t="s">
        <v>223</v>
      </c>
      <c r="E29" s="607"/>
      <c r="F29" s="603"/>
      <c r="G29" s="300"/>
      <c r="I29" s="300"/>
      <c r="J29" s="213"/>
      <c r="K29" s="213"/>
      <c r="O29" s="602" t="s">
        <v>160</v>
      </c>
      <c r="P29" s="603"/>
      <c r="R29" s="602" t="s">
        <v>224</v>
      </c>
      <c r="S29" s="607"/>
      <c r="T29" s="603"/>
    </row>
    <row r="30" spans="1:25" x14ac:dyDescent="0.25">
      <c r="A30" s="91" t="s">
        <v>163</v>
      </c>
      <c r="B30" s="7">
        <v>30</v>
      </c>
      <c r="D30" s="91" t="s">
        <v>163</v>
      </c>
      <c r="E30" s="134">
        <v>30</v>
      </c>
      <c r="F30" s="135"/>
      <c r="G30" s="15"/>
      <c r="I30" s="300"/>
      <c r="J30" s="213"/>
      <c r="K30" s="213"/>
      <c r="O30" s="91" t="s">
        <v>163</v>
      </c>
      <c r="P30" s="7">
        <v>30</v>
      </c>
      <c r="R30" s="91" t="s">
        <v>163</v>
      </c>
      <c r="S30" s="134">
        <v>30</v>
      </c>
      <c r="T30" s="135"/>
    </row>
    <row r="31" spans="1:25" x14ac:dyDescent="0.25">
      <c r="A31" s="92" t="s">
        <v>164</v>
      </c>
      <c r="B31" s="4">
        <v>70</v>
      </c>
      <c r="D31" s="92" t="s">
        <v>164</v>
      </c>
      <c r="E31" s="37">
        <v>70</v>
      </c>
      <c r="F31" s="136"/>
      <c r="G31" s="15"/>
      <c r="I31" s="300"/>
      <c r="J31" s="213"/>
      <c r="K31" s="213"/>
      <c r="O31" s="92" t="s">
        <v>164</v>
      </c>
      <c r="P31" s="4">
        <v>70</v>
      </c>
      <c r="R31" s="92" t="s">
        <v>164</v>
      </c>
      <c r="S31" s="37">
        <v>60</v>
      </c>
      <c r="T31" s="136"/>
    </row>
    <row r="32" spans="1:25" x14ac:dyDescent="0.25">
      <c r="A32" s="92" t="s">
        <v>161</v>
      </c>
      <c r="B32" s="4">
        <v>3.2</v>
      </c>
      <c r="D32" s="602" t="s">
        <v>309</v>
      </c>
      <c r="E32" s="607"/>
      <c r="F32" s="603"/>
      <c r="G32" s="37"/>
      <c r="I32" s="162"/>
      <c r="J32" s="107"/>
      <c r="K32" s="122"/>
      <c r="O32" s="92" t="s">
        <v>161</v>
      </c>
      <c r="P32" s="4">
        <v>3.2</v>
      </c>
      <c r="R32" s="604" t="s">
        <v>177</v>
      </c>
      <c r="S32" s="605"/>
      <c r="T32" s="606"/>
    </row>
    <row r="33" spans="1:25" x14ac:dyDescent="0.25">
      <c r="A33" s="92" t="s">
        <v>162</v>
      </c>
      <c r="B33" s="4">
        <f>B30*B31^3/12</f>
        <v>857500</v>
      </c>
      <c r="D33" s="91" t="s">
        <v>163</v>
      </c>
      <c r="E33" s="134">
        <v>90</v>
      </c>
      <c r="F33" s="135"/>
      <c r="G33" s="15"/>
      <c r="I33" s="162"/>
      <c r="J33" s="107"/>
      <c r="K33" s="122"/>
      <c r="O33" s="92" t="s">
        <v>162</v>
      </c>
      <c r="P33" s="4">
        <f>P30*P31^3/12</f>
        <v>857500</v>
      </c>
      <c r="R33" s="602" t="s">
        <v>309</v>
      </c>
      <c r="S33" s="607"/>
      <c r="T33" s="603"/>
    </row>
    <row r="34" spans="1:25" x14ac:dyDescent="0.25">
      <c r="A34" s="92" t="s">
        <v>166</v>
      </c>
      <c r="B34" s="4">
        <v>31500</v>
      </c>
      <c r="D34" s="203" t="s">
        <v>164</v>
      </c>
      <c r="E34" s="204">
        <v>24</v>
      </c>
      <c r="F34" s="205"/>
      <c r="G34" s="122"/>
      <c r="O34" s="92" t="s">
        <v>166</v>
      </c>
      <c r="P34" s="4">
        <v>31500</v>
      </c>
      <c r="R34" s="91" t="s">
        <v>163</v>
      </c>
      <c r="S34" s="134">
        <v>90</v>
      </c>
      <c r="T34" s="135"/>
    </row>
    <row r="35" spans="1:25" x14ac:dyDescent="0.25">
      <c r="A35" s="123" t="s">
        <v>165</v>
      </c>
      <c r="B35" s="124">
        <f>$B$15*B33/B32/100</f>
        <v>84410156.25</v>
      </c>
      <c r="D35" s="604" t="s">
        <v>177</v>
      </c>
      <c r="E35" s="605"/>
      <c r="F35" s="606"/>
      <c r="G35" s="122"/>
      <c r="O35" s="123" t="s">
        <v>165</v>
      </c>
      <c r="P35" s="124">
        <f>$B$15*P33/P32/100</f>
        <v>84410156.25</v>
      </c>
      <c r="R35" s="203" t="s">
        <v>164</v>
      </c>
      <c r="S35" s="204">
        <v>24</v>
      </c>
      <c r="T35" s="205"/>
    </row>
    <row r="36" spans="1:25" x14ac:dyDescent="0.25">
      <c r="G36" s="300"/>
      <c r="O36" s="122"/>
      <c r="P36" s="122"/>
      <c r="R36" s="37"/>
      <c r="S36" s="37"/>
      <c r="T36" s="122"/>
    </row>
    <row r="37" spans="1:25" x14ac:dyDescent="0.25">
      <c r="D37" s="130"/>
    </row>
    <row r="38" spans="1:25" x14ac:dyDescent="0.25">
      <c r="A38" s="600" t="s">
        <v>297</v>
      </c>
      <c r="B38" s="601"/>
      <c r="C38" s="601"/>
      <c r="D38" s="601"/>
      <c r="E38" s="601"/>
      <c r="F38" s="601"/>
      <c r="G38" s="601"/>
      <c r="H38" s="601"/>
      <c r="I38" s="601"/>
      <c r="J38" s="601"/>
      <c r="K38" s="601"/>
    </row>
    <row r="39" spans="1:25" x14ac:dyDescent="0.25">
      <c r="A39" s="153" t="s">
        <v>154</v>
      </c>
      <c r="B39" s="154" t="s">
        <v>176</v>
      </c>
      <c r="C39" s="154" t="s">
        <v>173</v>
      </c>
      <c r="D39" s="155" t="s">
        <v>168</v>
      </c>
      <c r="E39" s="156" t="s">
        <v>174</v>
      </c>
      <c r="G39" s="153" t="s">
        <v>154</v>
      </c>
      <c r="H39" s="154" t="s">
        <v>179</v>
      </c>
      <c r="I39" s="154" t="s">
        <v>173</v>
      </c>
      <c r="J39" s="155" t="s">
        <v>168</v>
      </c>
      <c r="K39" s="156" t="s">
        <v>174</v>
      </c>
      <c r="O39" s="600" t="s">
        <v>232</v>
      </c>
      <c r="P39" s="601"/>
      <c r="Q39" s="601"/>
      <c r="R39" s="601"/>
      <c r="S39" s="601"/>
      <c r="T39" s="601"/>
      <c r="U39" s="601"/>
      <c r="V39" s="601"/>
      <c r="W39" s="601"/>
      <c r="X39" s="601"/>
      <c r="Y39" s="608"/>
    </row>
    <row r="40" spans="1:25" x14ac:dyDescent="0.25">
      <c r="A40" s="121" t="s">
        <v>171</v>
      </c>
      <c r="B40" s="303" t="s">
        <v>167</v>
      </c>
      <c r="C40" s="347">
        <v>2</v>
      </c>
      <c r="D40" s="131">
        <v>1</v>
      </c>
      <c r="E40" s="108">
        <f>[20]Rigidezza!$L$5</f>
        <v>40.581805889423073</v>
      </c>
      <c r="G40" s="121" t="s">
        <v>171</v>
      </c>
      <c r="H40" s="303" t="s">
        <v>167</v>
      </c>
      <c r="I40" s="347">
        <v>4</v>
      </c>
      <c r="J40" s="131">
        <v>1</v>
      </c>
      <c r="K40" s="108">
        <f>[21]Rigidezza!$L$5</f>
        <v>39.5672607421875</v>
      </c>
      <c r="O40" s="153" t="s">
        <v>154</v>
      </c>
      <c r="P40" s="154" t="s">
        <v>176</v>
      </c>
      <c r="Q40" s="154" t="s">
        <v>173</v>
      </c>
      <c r="R40" s="155" t="s">
        <v>168</v>
      </c>
      <c r="S40" s="156" t="s">
        <v>174</v>
      </c>
      <c r="U40" s="153" t="s">
        <v>154</v>
      </c>
      <c r="V40" s="154" t="s">
        <v>179</v>
      </c>
      <c r="W40" s="154" t="s">
        <v>173</v>
      </c>
      <c r="X40" s="155" t="s">
        <v>168</v>
      </c>
      <c r="Y40" s="156" t="s">
        <v>174</v>
      </c>
    </row>
    <row r="41" spans="1:25" x14ac:dyDescent="0.25">
      <c r="A41" s="306" t="s">
        <v>170</v>
      </c>
      <c r="B41" s="122" t="s">
        <v>172</v>
      </c>
      <c r="C41" s="346">
        <v>10</v>
      </c>
      <c r="D41" s="122">
        <v>0.6</v>
      </c>
      <c r="E41" s="109">
        <f>[22]Rigidezza!$L$5</f>
        <v>28.2623291015625</v>
      </c>
      <c r="G41" s="306" t="s">
        <v>170</v>
      </c>
      <c r="H41" s="122" t="s">
        <v>172</v>
      </c>
      <c r="I41" s="346">
        <v>7</v>
      </c>
      <c r="J41" s="122">
        <v>0.6</v>
      </c>
      <c r="K41" s="109">
        <f>[23]Rigidezza!$L$5</f>
        <v>23.10496977645985</v>
      </c>
      <c r="O41" s="121" t="s">
        <v>236</v>
      </c>
      <c r="P41" s="211" t="s">
        <v>167</v>
      </c>
      <c r="Q41" s="211">
        <v>1</v>
      </c>
      <c r="R41" s="131">
        <v>1</v>
      </c>
      <c r="S41" s="108">
        <f>[24]Rigidezza!$L$5</f>
        <v>54.148475806295274</v>
      </c>
      <c r="U41" s="121" t="s">
        <v>236</v>
      </c>
      <c r="V41" s="64" t="s">
        <v>167</v>
      </c>
      <c r="W41" s="64">
        <v>3</v>
      </c>
      <c r="X41" s="131">
        <v>1</v>
      </c>
      <c r="Y41" s="108">
        <f>[25]Rigidezza!$L$5</f>
        <v>53.396336891570101</v>
      </c>
    </row>
    <row r="42" spans="1:25" x14ac:dyDescent="0.25">
      <c r="A42" s="306" t="s">
        <v>169</v>
      </c>
      <c r="B42" s="122" t="s">
        <v>167</v>
      </c>
      <c r="C42" s="346">
        <v>4</v>
      </c>
      <c r="D42" s="122">
        <v>0.4</v>
      </c>
      <c r="E42" s="109">
        <f>[26]Rigidezza!$L$5</f>
        <v>14.472150233362962</v>
      </c>
      <c r="G42" s="306" t="s">
        <v>169</v>
      </c>
      <c r="H42" s="122" t="s">
        <v>167</v>
      </c>
      <c r="I42" s="346">
        <v>4</v>
      </c>
      <c r="J42" s="122">
        <v>0.4</v>
      </c>
      <c r="K42" s="109">
        <f>[27]Rigidezza!$L$5</f>
        <v>14.117159432296825</v>
      </c>
      <c r="O42" s="214" t="s">
        <v>238</v>
      </c>
      <c r="P42" s="122" t="s">
        <v>235</v>
      </c>
      <c r="Q42" s="122">
        <v>1</v>
      </c>
      <c r="R42" s="122">
        <v>1</v>
      </c>
      <c r="S42" s="109">
        <f>[28]Rigidezza!$L$5</f>
        <v>30.13319813243719</v>
      </c>
      <c r="U42" s="214" t="s">
        <v>238</v>
      </c>
      <c r="V42" s="122" t="s">
        <v>167</v>
      </c>
      <c r="W42" s="215">
        <v>1</v>
      </c>
      <c r="X42" s="215">
        <v>1</v>
      </c>
      <c r="Y42" s="109">
        <f>[29]Rigidezza!$L$5</f>
        <v>29.248899111267956</v>
      </c>
    </row>
    <row r="43" spans="1:25" x14ac:dyDescent="0.25">
      <c r="A43" s="123" t="s">
        <v>169</v>
      </c>
      <c r="B43" s="308" t="s">
        <v>172</v>
      </c>
      <c r="C43" s="345">
        <v>8</v>
      </c>
      <c r="D43" s="308">
        <v>0.32</v>
      </c>
      <c r="E43" s="110">
        <f>[30]Rigidezza!$L$5</f>
        <v>12.752205789782897</v>
      </c>
      <c r="G43" s="306" t="s">
        <v>169</v>
      </c>
      <c r="H43" s="122" t="s">
        <v>172</v>
      </c>
      <c r="I43" s="346">
        <v>7</v>
      </c>
      <c r="J43" s="122">
        <v>0.32</v>
      </c>
      <c r="K43" s="109">
        <f>[31]Rigidezza!$L$5</f>
        <v>12.752205789782897</v>
      </c>
      <c r="O43" s="214" t="s">
        <v>240</v>
      </c>
      <c r="P43" s="122" t="s">
        <v>172</v>
      </c>
      <c r="Q43" s="122">
        <v>8</v>
      </c>
      <c r="R43" s="122">
        <v>0.6</v>
      </c>
      <c r="S43" s="109">
        <f>[32]Rigidezza!$L$5</f>
        <v>45.074109187632658</v>
      </c>
      <c r="U43" s="214" t="s">
        <v>236</v>
      </c>
      <c r="V43" s="122" t="s">
        <v>172</v>
      </c>
      <c r="W43" s="122">
        <v>7</v>
      </c>
      <c r="X43" s="122">
        <v>0.6</v>
      </c>
      <c r="Y43" s="109">
        <f>[33]Rigidezza!$L$5</f>
        <v>41.312931638880116</v>
      </c>
    </row>
    <row r="44" spans="1:25" x14ac:dyDescent="0.25">
      <c r="B44" s="307" t="s">
        <v>175</v>
      </c>
      <c r="C44" s="307">
        <f>C40+C41+C42+C43</f>
        <v>24</v>
      </c>
      <c r="D44" s="132" t="s">
        <v>178</v>
      </c>
      <c r="E44" s="133">
        <f>(E40*C40)+(E41*C41)+(E42*C42)+(E43*C43)</f>
        <v>523.69315004618613</v>
      </c>
      <c r="G44" s="123" t="s">
        <v>170</v>
      </c>
      <c r="H44" s="152" t="s">
        <v>180</v>
      </c>
      <c r="I44" s="152">
        <v>2</v>
      </c>
      <c r="J44" s="152">
        <v>7.0000000000000007E-2</v>
      </c>
      <c r="K44" s="110">
        <f>[18]Rigidezza!$L$5</f>
        <v>3.0120376949506205</v>
      </c>
      <c r="O44" s="214" t="s">
        <v>238</v>
      </c>
      <c r="P44" s="122" t="s">
        <v>172</v>
      </c>
      <c r="Q44" s="122">
        <v>3</v>
      </c>
      <c r="R44" s="122">
        <v>0.6</v>
      </c>
      <c r="S44" s="109">
        <f>[34]Rigidezza!$L$5</f>
        <v>19.903419469754304</v>
      </c>
      <c r="U44" s="214" t="s">
        <v>238</v>
      </c>
      <c r="V44" s="122" t="s">
        <v>172</v>
      </c>
      <c r="W44" s="162">
        <v>1</v>
      </c>
      <c r="X44" s="215">
        <v>0.6</v>
      </c>
      <c r="Y44" s="109">
        <f>[35]Rigidezza!$L$5</f>
        <v>15.92755761234188</v>
      </c>
    </row>
    <row r="45" spans="1:25" x14ac:dyDescent="0.25">
      <c r="H45" s="307" t="s">
        <v>175</v>
      </c>
      <c r="I45" s="307">
        <f>I40+I41+I42+I43+I44</f>
        <v>24</v>
      </c>
      <c r="J45" s="137" t="s">
        <v>178</v>
      </c>
      <c r="K45" s="138">
        <f>(K40*I40)+(K41*I41)+(K42*I42)+(K43*I43)+(I44*K44)</f>
        <v>471.76198505153775</v>
      </c>
      <c r="O45" s="214" t="s">
        <v>237</v>
      </c>
      <c r="P45" s="122" t="s">
        <v>167</v>
      </c>
      <c r="Q45" s="162">
        <v>3</v>
      </c>
      <c r="R45" s="122">
        <v>0.4</v>
      </c>
      <c r="S45" s="109">
        <f>[36]Rigidezza!$L$5</f>
        <v>15.268299479430794</v>
      </c>
      <c r="U45" s="214" t="s">
        <v>237</v>
      </c>
      <c r="V45" s="122" t="s">
        <v>167</v>
      </c>
      <c r="W45" s="122">
        <v>3</v>
      </c>
      <c r="X45" s="122">
        <v>0.4</v>
      </c>
      <c r="Y45" s="109">
        <f>[37]Rigidezza!$L$5</f>
        <v>14.993361817218965</v>
      </c>
    </row>
    <row r="46" spans="1:25" x14ac:dyDescent="0.25">
      <c r="O46" s="214" t="s">
        <v>239</v>
      </c>
      <c r="P46" s="122" t="s">
        <v>167</v>
      </c>
      <c r="Q46" s="162">
        <v>1</v>
      </c>
      <c r="R46" s="122">
        <v>0.4</v>
      </c>
      <c r="S46" s="109">
        <f>[38]Rigidezza!$L$5</f>
        <v>12.925906090782766</v>
      </c>
      <c r="U46" s="214" t="s">
        <v>239</v>
      </c>
      <c r="V46" s="122" t="s">
        <v>241</v>
      </c>
      <c r="W46" s="162">
        <v>1</v>
      </c>
      <c r="X46" s="162">
        <v>0.4</v>
      </c>
      <c r="Y46" s="109">
        <f>[39]Rigidezza!$L$5</f>
        <v>12.480783206618959</v>
      </c>
    </row>
    <row r="47" spans="1:25" x14ac:dyDescent="0.25">
      <c r="O47" s="214" t="s">
        <v>237</v>
      </c>
      <c r="P47" s="122" t="s">
        <v>172</v>
      </c>
      <c r="Q47" s="122">
        <v>6</v>
      </c>
      <c r="R47" s="122">
        <v>0.32</v>
      </c>
      <c r="S47" s="109">
        <f>[40]Rigidezza!$L$5</f>
        <v>13.941983434254535</v>
      </c>
      <c r="U47" s="214" t="s">
        <v>237</v>
      </c>
      <c r="V47" s="122" t="s">
        <v>172</v>
      </c>
      <c r="W47" s="122">
        <v>3</v>
      </c>
      <c r="X47" s="122">
        <v>0.32</v>
      </c>
      <c r="Y47" s="109">
        <f>[41]Rigidezza!$L$5</f>
        <v>13.941983434254535</v>
      </c>
    </row>
    <row r="48" spans="1:25" x14ac:dyDescent="0.25">
      <c r="O48" s="123" t="s">
        <v>239</v>
      </c>
      <c r="P48" s="216" t="s">
        <v>172</v>
      </c>
      <c r="Q48" s="216">
        <v>1</v>
      </c>
      <c r="R48" s="216">
        <v>0.32</v>
      </c>
      <c r="S48" s="110">
        <f>[42]Rigidezza!$L$5</f>
        <v>10.850323192068428</v>
      </c>
      <c r="U48" s="214" t="s">
        <v>239</v>
      </c>
      <c r="V48" s="122" t="s">
        <v>172</v>
      </c>
      <c r="W48" s="162">
        <v>3</v>
      </c>
      <c r="X48" s="162">
        <v>0.32</v>
      </c>
      <c r="Y48" s="109">
        <f>[43]Rigidezza!$L$5</f>
        <v>10.850323192068428</v>
      </c>
    </row>
    <row r="49" spans="1:25" x14ac:dyDescent="0.25">
      <c r="P49" s="118" t="s">
        <v>98</v>
      </c>
      <c r="Q49" s="229">
        <f>Q41+Q42+Q43+Q44+Q45+Q46+Q47+Q48</f>
        <v>24</v>
      </c>
      <c r="R49" s="129" t="s">
        <v>178</v>
      </c>
      <c r="S49" s="133">
        <f>(S41*Q41)+(S42*Q42)+(S43*Q43)+(S44*Q44)+(S45*Q45)+(S46*Q46)+(S47*Q47)+(S48*Q48)</f>
        <v>657.8178341757274</v>
      </c>
      <c r="U49" s="123" t="s">
        <v>170</v>
      </c>
      <c r="V49" s="152" t="s">
        <v>180</v>
      </c>
      <c r="W49" s="152">
        <v>2</v>
      </c>
      <c r="X49" s="152">
        <v>7.0000000000000007E-2</v>
      </c>
      <c r="Y49" s="110">
        <f>[44]Rigidezza!$L$5</f>
        <v>7.7174762795019829</v>
      </c>
    </row>
    <row r="50" spans="1:25" x14ac:dyDescent="0.25">
      <c r="V50" s="66" t="s">
        <v>98</v>
      </c>
      <c r="W50" s="66">
        <f>W41+W42+W43+W44+W45+W46+W47+W48+W49</f>
        <v>24</v>
      </c>
      <c r="X50" s="137" t="s">
        <v>178</v>
      </c>
      <c r="Y50" s="138">
        <f>(Y41*W41)+(Y42*W42)+(Y43*W43)+(Y44*W44)+(Y45*W45)+(Y46*W46)+(Y47*W47)+(Y48*W48)+(W49*Y49)</f>
        <v>641.8287299667295</v>
      </c>
    </row>
    <row r="54" spans="1:25" x14ac:dyDescent="0.25">
      <c r="A54" s="599"/>
      <c r="B54" s="599"/>
      <c r="C54" s="599"/>
      <c r="D54" s="599"/>
      <c r="E54" s="599"/>
      <c r="F54" s="599"/>
      <c r="G54" s="162"/>
      <c r="H54" s="599"/>
      <c r="I54" s="599"/>
      <c r="J54" s="599"/>
      <c r="K54" s="599"/>
      <c r="L54" s="599"/>
      <c r="M54" s="599"/>
    </row>
    <row r="55" spans="1:25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</row>
    <row r="56" spans="1:25" x14ac:dyDescent="0.25">
      <c r="A56" s="162"/>
      <c r="B56" s="396"/>
      <c r="C56" s="396"/>
      <c r="D56" s="396"/>
      <c r="E56" s="396"/>
      <c r="F56" s="396"/>
      <c r="G56" s="396"/>
      <c r="H56" s="162"/>
      <c r="I56" s="396"/>
      <c r="J56" s="396"/>
      <c r="K56" s="396"/>
      <c r="L56" s="396"/>
      <c r="M56" s="396"/>
    </row>
    <row r="57" spans="1:25" x14ac:dyDescent="0.25">
      <c r="A57" s="162"/>
      <c r="B57" s="396"/>
      <c r="C57" s="396"/>
      <c r="D57" s="396"/>
      <c r="E57" s="396"/>
      <c r="F57" s="396"/>
      <c r="G57" s="396"/>
      <c r="H57" s="162"/>
      <c r="I57" s="396"/>
      <c r="J57" s="396"/>
      <c r="K57" s="396"/>
      <c r="L57" s="396"/>
      <c r="M57" s="396"/>
    </row>
    <row r="58" spans="1:25" x14ac:dyDescent="0.25">
      <c r="A58" s="162"/>
      <c r="B58" s="396"/>
      <c r="C58" s="396"/>
      <c r="D58" s="396"/>
      <c r="E58" s="396"/>
      <c r="F58" s="396"/>
      <c r="G58" s="396"/>
      <c r="H58" s="162"/>
      <c r="I58" s="396"/>
      <c r="J58" s="396"/>
      <c r="K58" s="396"/>
      <c r="L58" s="396"/>
      <c r="M58" s="396"/>
    </row>
    <row r="59" spans="1:25" x14ac:dyDescent="0.25">
      <c r="A59" s="162"/>
      <c r="B59" s="396"/>
      <c r="C59" s="396"/>
      <c r="D59" s="396"/>
      <c r="E59" s="396"/>
      <c r="F59" s="396"/>
      <c r="G59" s="396"/>
      <c r="H59" s="162"/>
      <c r="I59" s="396"/>
      <c r="J59" s="396"/>
      <c r="K59" s="396"/>
      <c r="L59" s="396"/>
      <c r="M59" s="396"/>
    </row>
    <row r="60" spans="1:25" x14ac:dyDescent="0.25">
      <c r="A60" s="162"/>
      <c r="B60" s="396"/>
      <c r="C60" s="396"/>
      <c r="D60" s="396"/>
      <c r="E60" s="396"/>
      <c r="F60" s="396"/>
      <c r="G60" s="396"/>
      <c r="H60" s="162"/>
      <c r="I60" s="396"/>
      <c r="J60" s="396"/>
      <c r="K60" s="396"/>
      <c r="L60" s="396"/>
      <c r="M60" s="396"/>
    </row>
    <row r="61" spans="1:25" x14ac:dyDescent="0.25">
      <c r="A61" s="162"/>
      <c r="B61" s="396"/>
      <c r="C61" s="396"/>
      <c r="D61" s="396"/>
      <c r="E61" s="396"/>
      <c r="F61" s="396"/>
      <c r="G61" s="396"/>
      <c r="H61" s="162"/>
      <c r="I61" s="396"/>
      <c r="J61" s="396"/>
      <c r="K61" s="396"/>
      <c r="L61" s="396"/>
      <c r="M61" s="396"/>
    </row>
    <row r="62" spans="1:25" x14ac:dyDescent="0.25">
      <c r="A62" s="532"/>
      <c r="B62" s="396"/>
      <c r="C62" s="533"/>
      <c r="D62" s="533"/>
      <c r="E62" s="533"/>
      <c r="F62" s="533"/>
      <c r="G62" s="396"/>
      <c r="H62" s="532"/>
      <c r="I62" s="533"/>
      <c r="J62" s="533"/>
      <c r="K62" s="533"/>
      <c r="L62" s="533"/>
      <c r="M62" s="533"/>
    </row>
    <row r="63" spans="1:25" x14ac:dyDescent="0.25">
      <c r="A63" s="531"/>
      <c r="B63" s="531"/>
      <c r="C63" s="162"/>
      <c r="D63" s="531"/>
      <c r="E63" s="531"/>
      <c r="F63" s="531"/>
      <c r="G63" s="531"/>
      <c r="H63" s="531"/>
      <c r="I63" s="531"/>
      <c r="J63" s="162"/>
      <c r="K63" s="531"/>
      <c r="L63" s="531"/>
      <c r="M63" s="531"/>
    </row>
    <row r="64" spans="1:25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</row>
    <row r="65" spans="1:13" x14ac:dyDescent="0.25">
      <c r="A65" s="162"/>
      <c r="B65" s="396"/>
      <c r="C65" s="396"/>
      <c r="D65" s="396"/>
      <c r="E65" s="396"/>
      <c r="F65" s="396"/>
      <c r="G65" s="396"/>
      <c r="H65" s="162"/>
      <c r="I65" s="396"/>
      <c r="J65" s="396"/>
      <c r="K65" s="396"/>
      <c r="L65" s="396"/>
      <c r="M65" s="396"/>
    </row>
    <row r="66" spans="1:13" x14ac:dyDescent="0.25">
      <c r="A66" s="162"/>
      <c r="B66" s="396"/>
      <c r="C66" s="396"/>
      <c r="D66" s="396"/>
      <c r="E66" s="396"/>
      <c r="F66" s="396"/>
      <c r="G66" s="396"/>
      <c r="H66" s="162"/>
      <c r="I66" s="396"/>
      <c r="J66" s="396"/>
      <c r="K66" s="396"/>
      <c r="L66" s="396"/>
      <c r="M66" s="396"/>
    </row>
    <row r="67" spans="1:13" x14ac:dyDescent="0.25">
      <c r="A67" s="162"/>
      <c r="B67" s="396"/>
      <c r="C67" s="396"/>
      <c r="D67" s="396"/>
      <c r="E67" s="396"/>
      <c r="F67" s="396"/>
      <c r="G67" s="396"/>
      <c r="H67" s="162"/>
      <c r="I67" s="396"/>
      <c r="J67" s="396"/>
      <c r="K67" s="396"/>
      <c r="L67" s="396"/>
      <c r="M67" s="396"/>
    </row>
    <row r="68" spans="1:13" x14ac:dyDescent="0.25">
      <c r="A68" s="162"/>
      <c r="B68" s="396"/>
      <c r="C68" s="396"/>
      <c r="D68" s="396"/>
      <c r="E68" s="396"/>
      <c r="F68" s="396"/>
      <c r="G68" s="396"/>
      <c r="H68" s="162"/>
      <c r="I68" s="396"/>
      <c r="J68" s="396"/>
      <c r="K68" s="396"/>
      <c r="L68" s="396"/>
      <c r="M68" s="396"/>
    </row>
    <row r="69" spans="1:13" x14ac:dyDescent="0.25">
      <c r="A69" s="162"/>
      <c r="B69" s="396"/>
      <c r="C69" s="396"/>
      <c r="D69" s="396"/>
      <c r="E69" s="396"/>
      <c r="F69" s="396"/>
      <c r="G69" s="396"/>
      <c r="H69" s="162"/>
      <c r="I69" s="396"/>
      <c r="J69" s="396"/>
      <c r="K69" s="396"/>
      <c r="L69" s="396"/>
      <c r="M69" s="396"/>
    </row>
    <row r="70" spans="1:13" x14ac:dyDescent="0.25">
      <c r="A70" s="162"/>
      <c r="B70" s="396"/>
      <c r="C70" s="396"/>
      <c r="D70" s="396"/>
      <c r="E70" s="396"/>
      <c r="F70" s="396"/>
      <c r="G70" s="396"/>
      <c r="H70" s="162"/>
      <c r="I70" s="396"/>
      <c r="J70" s="396"/>
      <c r="K70" s="396"/>
      <c r="L70" s="396"/>
      <c r="M70" s="396"/>
    </row>
    <row r="71" spans="1:13" x14ac:dyDescent="0.25">
      <c r="A71" s="532"/>
      <c r="B71" s="534"/>
      <c r="C71" s="534"/>
      <c r="D71" s="534"/>
      <c r="E71" s="534"/>
      <c r="F71" s="534"/>
      <c r="G71" s="531"/>
      <c r="H71" s="532"/>
      <c r="I71" s="534"/>
      <c r="J71" s="534"/>
      <c r="K71" s="534"/>
      <c r="L71" s="534"/>
      <c r="M71" s="534"/>
    </row>
    <row r="72" spans="1:13" x14ac:dyDescent="0.25">
      <c r="A72" s="162"/>
      <c r="B72" s="531"/>
      <c r="C72" s="531"/>
      <c r="D72" s="531"/>
      <c r="E72" s="396"/>
      <c r="F72" s="396"/>
      <c r="G72" s="396"/>
      <c r="H72" s="162"/>
      <c r="I72" s="531"/>
      <c r="J72" s="531"/>
      <c r="K72" s="531"/>
      <c r="L72" s="396"/>
      <c r="M72" s="396"/>
    </row>
    <row r="73" spans="1:13" x14ac:dyDescent="0.25">
      <c r="A73" s="531"/>
      <c r="B73" s="531"/>
      <c r="C73" s="531"/>
      <c r="D73" s="531"/>
      <c r="E73" s="531"/>
      <c r="F73" s="531"/>
      <c r="G73" s="531"/>
      <c r="H73" s="531"/>
      <c r="I73" s="531"/>
      <c r="J73" s="531"/>
      <c r="K73" s="531"/>
      <c r="L73" s="531"/>
      <c r="M73" s="531"/>
    </row>
    <row r="74" spans="1:13" x14ac:dyDescent="0.25">
      <c r="A74" s="531"/>
      <c r="B74" s="531"/>
      <c r="C74" s="162"/>
      <c r="D74" s="535"/>
      <c r="E74" s="162"/>
      <c r="F74" s="162"/>
      <c r="G74" s="162"/>
      <c r="H74" s="162"/>
      <c r="I74" s="162"/>
      <c r="J74" s="162"/>
      <c r="K74" s="535"/>
      <c r="L74" s="531"/>
      <c r="M74" s="531"/>
    </row>
  </sheetData>
  <mergeCells count="28">
    <mergeCell ref="O28:P28"/>
    <mergeCell ref="O29:P29"/>
    <mergeCell ref="R29:T29"/>
    <mergeCell ref="R32:T32"/>
    <mergeCell ref="O39:Y39"/>
    <mergeCell ref="R33:T33"/>
    <mergeCell ref="O19:Y19"/>
    <mergeCell ref="O9:P9"/>
    <mergeCell ref="O10:P10"/>
    <mergeCell ref="R13:T13"/>
    <mergeCell ref="R16:T16"/>
    <mergeCell ref="R9:T9"/>
    <mergeCell ref="R12:T12"/>
    <mergeCell ref="H54:M54"/>
    <mergeCell ref="A19:K19"/>
    <mergeCell ref="A54:F54"/>
    <mergeCell ref="A1:B1"/>
    <mergeCell ref="A5:B5"/>
    <mergeCell ref="A9:B9"/>
    <mergeCell ref="A10:B10"/>
    <mergeCell ref="D13:F13"/>
    <mergeCell ref="D10:F10"/>
    <mergeCell ref="A28:B28"/>
    <mergeCell ref="A29:B29"/>
    <mergeCell ref="D29:F29"/>
    <mergeCell ref="D35:F35"/>
    <mergeCell ref="A38:K38"/>
    <mergeCell ref="D32:F32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="70" zoomScaleNormal="70" workbookViewId="0">
      <selection activeCell="F28" sqref="F28"/>
    </sheetView>
  </sheetViews>
  <sheetFormatPr defaultColWidth="14.28515625" defaultRowHeight="15" x14ac:dyDescent="0.25"/>
  <cols>
    <col min="5" max="5" width="15.28515625" customWidth="1"/>
    <col min="6" max="6" width="15.85546875" customWidth="1"/>
  </cols>
  <sheetData>
    <row r="1" spans="1:13" x14ac:dyDescent="0.25">
      <c r="A1" s="558" t="s">
        <v>194</v>
      </c>
      <c r="B1" s="609"/>
      <c r="C1" s="609"/>
      <c r="D1" s="609"/>
      <c r="E1" s="609"/>
      <c r="F1" s="559"/>
      <c r="H1" s="558" t="s">
        <v>199</v>
      </c>
      <c r="I1" s="609"/>
      <c r="J1" s="609"/>
      <c r="K1" s="609"/>
      <c r="L1" s="609"/>
      <c r="M1" s="559"/>
    </row>
    <row r="2" spans="1:13" x14ac:dyDescent="0.25">
      <c r="A2" s="158" t="s">
        <v>215</v>
      </c>
      <c r="B2" s="158" t="s">
        <v>189</v>
      </c>
      <c r="C2" s="158" t="s">
        <v>190</v>
      </c>
      <c r="D2" s="158" t="s">
        <v>191</v>
      </c>
      <c r="E2" s="158" t="s">
        <v>192</v>
      </c>
      <c r="F2" s="158" t="s">
        <v>193</v>
      </c>
      <c r="H2" s="158" t="s">
        <v>215</v>
      </c>
      <c r="I2" s="158" t="s">
        <v>189</v>
      </c>
      <c r="J2" s="158" t="s">
        <v>190</v>
      </c>
      <c r="K2" s="158" t="s">
        <v>191</v>
      </c>
      <c r="L2" s="158" t="s">
        <v>192</v>
      </c>
      <c r="M2" s="158" t="s">
        <v>193</v>
      </c>
    </row>
    <row r="3" spans="1:13" x14ac:dyDescent="0.25">
      <c r="A3" s="125" t="s">
        <v>231</v>
      </c>
      <c r="B3" s="249">
        <f>'Masse &amp; forze'!F26</f>
        <v>514.34668904928992</v>
      </c>
      <c r="C3" s="249">
        <f>'Caratteristiche sollecitazioni'!B21</f>
        <v>514.34668904928992</v>
      </c>
      <c r="D3" s="249">
        <f>Rigidezze!J2</f>
        <v>304.36024872198828</v>
      </c>
      <c r="E3" s="249">
        <f>C3/D3</f>
        <v>1.6899272858694157</v>
      </c>
      <c r="F3" s="108">
        <f t="shared" ref="F3:F6" si="0">F4+E3</f>
        <v>16.480026816525683</v>
      </c>
      <c r="H3" s="125" t="s">
        <v>231</v>
      </c>
      <c r="I3" s="249">
        <f t="shared" ref="I3:J8" si="1">B3</f>
        <v>514.34668904928992</v>
      </c>
      <c r="J3" s="99">
        <f t="shared" si="1"/>
        <v>514.34668904928992</v>
      </c>
      <c r="K3" s="249">
        <f>Rigidezze!K2</f>
        <v>319.51268579109473</v>
      </c>
      <c r="L3" s="99">
        <f t="shared" ref="L3:L8" si="2">J3/K3</f>
        <v>1.6097848752884336</v>
      </c>
      <c r="M3" s="108">
        <f>M4+L3</f>
        <v>17.894253251777734</v>
      </c>
    </row>
    <row r="4" spans="1:13" x14ac:dyDescent="0.25">
      <c r="A4" s="126">
        <v>6</v>
      </c>
      <c r="B4" s="545">
        <f>'Masse &amp; forze'!F27</f>
        <v>445.41206993555835</v>
      </c>
      <c r="C4" s="545">
        <f>'Caratteristiche sollecitazioni'!B22</f>
        <v>959.75875898484833</v>
      </c>
      <c r="D4" s="545">
        <f>Rigidezze!J3</f>
        <v>406.85989713978176</v>
      </c>
      <c r="E4" s="545">
        <f>C4/D4</f>
        <v>2.3589416546873658</v>
      </c>
      <c r="F4" s="109">
        <f t="shared" si="0"/>
        <v>14.790099530656269</v>
      </c>
      <c r="H4" s="126">
        <v>6</v>
      </c>
      <c r="I4" s="523">
        <f t="shared" si="1"/>
        <v>445.41206993555835</v>
      </c>
      <c r="J4" s="100">
        <f t="shared" si="1"/>
        <v>959.75875898484833</v>
      </c>
      <c r="K4" s="523">
        <f>Rigidezze!K3</f>
        <v>360.38797029232103</v>
      </c>
      <c r="L4" s="100">
        <f t="shared" si="2"/>
        <v>2.6631265139243143</v>
      </c>
      <c r="M4" s="109">
        <f>M5+L4</f>
        <v>16.284468376489301</v>
      </c>
    </row>
    <row r="5" spans="1:13" x14ac:dyDescent="0.25">
      <c r="A5" s="126">
        <v>5</v>
      </c>
      <c r="B5" s="545">
        <f>'Masse &amp; forze'!F28</f>
        <v>356.32965594844671</v>
      </c>
      <c r="C5" s="545">
        <f>'Caratteristiche sollecitazioni'!B23</f>
        <v>1316.0884149332951</v>
      </c>
      <c r="D5" s="545">
        <f>Rigidezze!J4</f>
        <v>406.85989713978176</v>
      </c>
      <c r="E5" s="545">
        <f t="shared" ref="E5:E8" si="3">C5/D5</f>
        <v>3.234745975667237</v>
      </c>
      <c r="F5" s="109">
        <f t="shared" si="0"/>
        <v>12.431157875968903</v>
      </c>
      <c r="H5" s="126">
        <v>5</v>
      </c>
      <c r="I5" s="523">
        <f t="shared" si="1"/>
        <v>356.32965594844671</v>
      </c>
      <c r="J5" s="100">
        <f t="shared" si="1"/>
        <v>1316.0884149332951</v>
      </c>
      <c r="K5" s="523">
        <f>Rigidezze!K4</f>
        <v>360.38797029232103</v>
      </c>
      <c r="L5" s="100">
        <f t="shared" si="2"/>
        <v>3.6518655544073182</v>
      </c>
      <c r="M5" s="109">
        <f>M6+L5</f>
        <v>13.621341862564986</v>
      </c>
    </row>
    <row r="6" spans="1:13" x14ac:dyDescent="0.25">
      <c r="A6" s="126">
        <v>4</v>
      </c>
      <c r="B6" s="545">
        <f>'Masse &amp; forze'!F29</f>
        <v>267.24724196133508</v>
      </c>
      <c r="C6" s="545">
        <f>'Caratteristiche sollecitazioni'!B24</f>
        <v>1583.3356568946301</v>
      </c>
      <c r="D6" s="545">
        <f>Rigidezze!J5</f>
        <v>523.69315004618613</v>
      </c>
      <c r="E6" s="545">
        <f t="shared" si="3"/>
        <v>3.0234034123894706</v>
      </c>
      <c r="F6" s="109">
        <f t="shared" si="0"/>
        <v>9.1964119003016673</v>
      </c>
      <c r="H6" s="126">
        <v>4</v>
      </c>
      <c r="I6" s="523">
        <f t="shared" si="1"/>
        <v>267.24724196133508</v>
      </c>
      <c r="J6" s="100">
        <f t="shared" si="1"/>
        <v>1583.3356568946301</v>
      </c>
      <c r="K6" s="523">
        <f>Rigidezze!K5</f>
        <v>471.76198505153775</v>
      </c>
      <c r="L6" s="100">
        <f t="shared" si="2"/>
        <v>3.3562171329291366</v>
      </c>
      <c r="M6" s="109">
        <f>M7+L6</f>
        <v>9.9694763081576685</v>
      </c>
    </row>
    <row r="7" spans="1:13" x14ac:dyDescent="0.25">
      <c r="A7" s="126">
        <v>3</v>
      </c>
      <c r="B7" s="545">
        <f>'Masse &amp; forze'!F30</f>
        <v>178.16482797422336</v>
      </c>
      <c r="C7" s="545">
        <f>'Caratteristiche sollecitazioni'!B25</f>
        <v>1761.5004848688534</v>
      </c>
      <c r="D7" s="545">
        <f>Rigidezze!J6</f>
        <v>523.69315004618613</v>
      </c>
      <c r="E7" s="545">
        <f t="shared" si="3"/>
        <v>3.3636118492546658</v>
      </c>
      <c r="F7" s="109">
        <f>F8+E7</f>
        <v>6.1730084879121971</v>
      </c>
      <c r="H7" s="126">
        <v>3</v>
      </c>
      <c r="I7" s="523">
        <f t="shared" si="1"/>
        <v>178.16482797422336</v>
      </c>
      <c r="J7" s="100">
        <f t="shared" si="1"/>
        <v>1761.5004848688534</v>
      </c>
      <c r="K7" s="523">
        <f>Rigidezze!K6</f>
        <v>471.76198505153775</v>
      </c>
      <c r="L7" s="100">
        <f t="shared" si="2"/>
        <v>3.7338754301629833</v>
      </c>
      <c r="M7" s="109">
        <f>L8+L7</f>
        <v>6.6132591752285315</v>
      </c>
    </row>
    <row r="8" spans="1:13" x14ac:dyDescent="0.25">
      <c r="A8" s="114">
        <v>2</v>
      </c>
      <c r="B8" s="168">
        <f>'Masse &amp; forze'!F31</f>
        <v>86.570727313412291</v>
      </c>
      <c r="C8" s="168">
        <f>'Caratteristiche sollecitazioni'!B26</f>
        <v>1848.0712121822658</v>
      </c>
      <c r="D8" s="168">
        <f>Rigidezze!J7</f>
        <v>657.8178341757274</v>
      </c>
      <c r="E8" s="168">
        <f t="shared" si="3"/>
        <v>2.8093966386575313</v>
      </c>
      <c r="F8" s="110">
        <f>E8</f>
        <v>2.8093966386575313</v>
      </c>
      <c r="H8" s="114">
        <v>2</v>
      </c>
      <c r="I8" s="168">
        <f t="shared" si="1"/>
        <v>86.570727313412291</v>
      </c>
      <c r="J8" s="101">
        <f t="shared" si="1"/>
        <v>1848.0712121822658</v>
      </c>
      <c r="K8" s="168">
        <f>Rigidezze!K7</f>
        <v>641.8287299667295</v>
      </c>
      <c r="L8" s="101">
        <f t="shared" si="2"/>
        <v>2.8793837450655477</v>
      </c>
      <c r="M8" s="110">
        <f>L8</f>
        <v>2.8793837450655477</v>
      </c>
    </row>
    <row r="9" spans="1:13" x14ac:dyDescent="0.25">
      <c r="J9" s="522"/>
    </row>
    <row r="10" spans="1:13" x14ac:dyDescent="0.25">
      <c r="A10" s="158" t="s">
        <v>188</v>
      </c>
      <c r="B10" s="158" t="s">
        <v>195</v>
      </c>
      <c r="C10" s="158" t="s">
        <v>189</v>
      </c>
      <c r="D10" s="158" t="s">
        <v>193</v>
      </c>
      <c r="E10" s="158" t="s">
        <v>196</v>
      </c>
      <c r="F10" s="158" t="s">
        <v>197</v>
      </c>
      <c r="H10" s="158" t="s">
        <v>188</v>
      </c>
      <c r="I10" s="161" t="s">
        <v>195</v>
      </c>
      <c r="J10" s="158" t="s">
        <v>189</v>
      </c>
      <c r="K10" s="158" t="s">
        <v>193</v>
      </c>
      <c r="L10" s="158" t="s">
        <v>196</v>
      </c>
      <c r="M10" s="158" t="s">
        <v>197</v>
      </c>
    </row>
    <row r="11" spans="1:13" x14ac:dyDescent="0.25">
      <c r="A11" s="121" t="s">
        <v>231</v>
      </c>
      <c r="B11" s="99">
        <f>'Masse &amp; forze'!C26/9.81</f>
        <v>332.2113594291539</v>
      </c>
      <c r="C11" s="108">
        <f t="shared" ref="C11:C16" si="4">B3</f>
        <v>514.34668904928992</v>
      </c>
      <c r="D11" s="249">
        <f t="shared" ref="D11:D16" si="5">F3</f>
        <v>16.480026816525683</v>
      </c>
      <c r="E11" s="99">
        <f>C11*D11</f>
        <v>8476.4472285234951</v>
      </c>
      <c r="F11" s="108">
        <f t="shared" ref="F11:F16" si="6">B11*(D11^2)/1000</f>
        <v>90.225709624693337</v>
      </c>
      <c r="H11" s="121" t="s">
        <v>231</v>
      </c>
      <c r="I11" s="99">
        <f>'Masse &amp; forze'!C26/9.81</f>
        <v>332.2113594291539</v>
      </c>
      <c r="J11" s="108">
        <f t="shared" ref="J11:J16" si="7">I3</f>
        <v>514.34668904928992</v>
      </c>
      <c r="K11" s="99">
        <f t="shared" ref="K11:K16" si="8">M3</f>
        <v>17.894253251777734</v>
      </c>
      <c r="L11" s="99">
        <f t="shared" ref="L11:L16" si="9">J11*K11</f>
        <v>9203.8499130613673</v>
      </c>
      <c r="M11" s="108">
        <f t="shared" ref="M11:M16" si="10">I11*(K11^2)/1000</f>
        <v>106.37550561160965</v>
      </c>
    </row>
    <row r="12" spans="1:13" x14ac:dyDescent="0.25">
      <c r="A12" s="306">
        <v>6</v>
      </c>
      <c r="B12" s="100">
        <f>'Masse &amp; forze'!C27/9.81</f>
        <v>345.22461773700309</v>
      </c>
      <c r="C12" s="109">
        <f t="shared" si="4"/>
        <v>445.41206993555835</v>
      </c>
      <c r="D12" s="523">
        <f t="shared" si="5"/>
        <v>14.790099530656269</v>
      </c>
      <c r="E12" s="100">
        <f t="shared" ref="E12:E16" si="11">C12*D12</f>
        <v>6587.6888465025386</v>
      </c>
      <c r="F12" s="109">
        <f t="shared" si="6"/>
        <v>75.516864689745844</v>
      </c>
      <c r="H12" s="306">
        <v>6</v>
      </c>
      <c r="I12" s="100">
        <f>'Masse &amp; forze'!C27/9.81</f>
        <v>345.22461773700309</v>
      </c>
      <c r="J12" s="109">
        <f t="shared" si="7"/>
        <v>445.41206993555835</v>
      </c>
      <c r="K12" s="100">
        <f t="shared" si="8"/>
        <v>16.284468376489301</v>
      </c>
      <c r="L12" s="100">
        <f t="shared" si="9"/>
        <v>7253.2987673722409</v>
      </c>
      <c r="M12" s="109">
        <f t="shared" si="10"/>
        <v>91.548014065005944</v>
      </c>
    </row>
    <row r="13" spans="1:13" x14ac:dyDescent="0.25">
      <c r="A13" s="306">
        <v>5</v>
      </c>
      <c r="B13" s="100">
        <f>'Masse &amp; forze'!C28/9.81</f>
        <v>345.22461773700309</v>
      </c>
      <c r="C13" s="109">
        <f t="shared" si="4"/>
        <v>356.32965594844671</v>
      </c>
      <c r="D13" s="523">
        <f t="shared" si="5"/>
        <v>12.431157875968903</v>
      </c>
      <c r="E13" s="100">
        <f t="shared" si="11"/>
        <v>4429.5902089848232</v>
      </c>
      <c r="F13" s="109">
        <f t="shared" si="6"/>
        <v>53.348832724226874</v>
      </c>
      <c r="H13" s="306">
        <v>5</v>
      </c>
      <c r="I13" s="100">
        <f>'Masse &amp; forze'!C28/9.81</f>
        <v>345.22461773700309</v>
      </c>
      <c r="J13" s="109">
        <f t="shared" si="7"/>
        <v>356.32965594844671</v>
      </c>
      <c r="K13" s="100">
        <f t="shared" si="8"/>
        <v>13.621341862564986</v>
      </c>
      <c r="L13" s="100">
        <f t="shared" si="9"/>
        <v>4853.6880594439554</v>
      </c>
      <c r="M13" s="109">
        <f t="shared" si="10"/>
        <v>64.053304966458171</v>
      </c>
    </row>
    <row r="14" spans="1:13" x14ac:dyDescent="0.25">
      <c r="A14" s="306">
        <v>4</v>
      </c>
      <c r="B14" s="100">
        <f>'Masse &amp; forze'!C29/9.81</f>
        <v>345.22461773700309</v>
      </c>
      <c r="C14" s="109">
        <f t="shared" si="4"/>
        <v>267.24724196133508</v>
      </c>
      <c r="D14" s="523">
        <f t="shared" si="5"/>
        <v>9.1964119003016673</v>
      </c>
      <c r="E14" s="100">
        <f t="shared" si="11"/>
        <v>2457.7157162960211</v>
      </c>
      <c r="F14" s="109">
        <f t="shared" si="6"/>
        <v>29.197024003459912</v>
      </c>
      <c r="H14" s="306">
        <v>4</v>
      </c>
      <c r="I14" s="100">
        <f>'Masse &amp; forze'!C29/9.81</f>
        <v>345.22461773700309</v>
      </c>
      <c r="J14" s="109">
        <f t="shared" si="7"/>
        <v>267.24724196133508</v>
      </c>
      <c r="K14" s="100">
        <f t="shared" si="8"/>
        <v>9.9694763081576685</v>
      </c>
      <c r="L14" s="100">
        <f t="shared" si="9"/>
        <v>2664.3150471540098</v>
      </c>
      <c r="M14" s="109">
        <f t="shared" si="10"/>
        <v>34.312032821050359</v>
      </c>
    </row>
    <row r="15" spans="1:13" x14ac:dyDescent="0.25">
      <c r="A15" s="306">
        <v>3</v>
      </c>
      <c r="B15" s="100">
        <f>'Masse &amp; forze'!C30/9.81</f>
        <v>345.22461773700309</v>
      </c>
      <c r="C15" s="109">
        <f t="shared" si="4"/>
        <v>178.16482797422336</v>
      </c>
      <c r="D15" s="523">
        <f t="shared" si="5"/>
        <v>6.1730084879121971</v>
      </c>
      <c r="E15" s="100">
        <f t="shared" si="11"/>
        <v>1099.8129953322973</v>
      </c>
      <c r="F15" s="109">
        <f t="shared" si="6"/>
        <v>13.155140949259916</v>
      </c>
      <c r="H15" s="306">
        <v>3</v>
      </c>
      <c r="I15" s="100">
        <f>'Masse &amp; forze'!C30/9.81</f>
        <v>345.22461773700309</v>
      </c>
      <c r="J15" s="109">
        <f t="shared" si="7"/>
        <v>178.16482797422336</v>
      </c>
      <c r="K15" s="100">
        <f t="shared" si="8"/>
        <v>6.6132591752285315</v>
      </c>
      <c r="L15" s="100">
        <f t="shared" si="9"/>
        <v>1178.2501833035456</v>
      </c>
      <c r="M15" s="109">
        <f t="shared" si="10"/>
        <v>15.098466637926077</v>
      </c>
    </row>
    <row r="16" spans="1:13" x14ac:dyDescent="0.25">
      <c r="A16" s="123">
        <v>2</v>
      </c>
      <c r="B16" s="101">
        <f>'Masse &amp; forze'!C31/9.81</f>
        <v>335.49097859327213</v>
      </c>
      <c r="C16" s="110">
        <f t="shared" si="4"/>
        <v>86.570727313412291</v>
      </c>
      <c r="D16" s="168">
        <f t="shared" si="5"/>
        <v>2.8093966386575313</v>
      </c>
      <c r="E16" s="101">
        <f t="shared" si="11"/>
        <v>243.21151032043824</v>
      </c>
      <c r="F16" s="110">
        <f t="shared" si="6"/>
        <v>2.6479328249498852</v>
      </c>
      <c r="H16" s="123">
        <v>2</v>
      </c>
      <c r="I16" s="101">
        <f>'Masse &amp; forze'!C31/9.81</f>
        <v>335.49097859327213</v>
      </c>
      <c r="J16" s="110">
        <f t="shared" si="7"/>
        <v>86.570727313412291</v>
      </c>
      <c r="K16" s="101">
        <f t="shared" si="8"/>
        <v>2.8793837450655477</v>
      </c>
      <c r="L16" s="101">
        <f t="shared" si="9"/>
        <v>249.27034502474137</v>
      </c>
      <c r="M16" s="110">
        <f t="shared" si="10"/>
        <v>2.7815056319404055</v>
      </c>
    </row>
    <row r="17" spans="1:13" x14ac:dyDescent="0.25">
      <c r="A17" s="526" t="s">
        <v>98</v>
      </c>
      <c r="E17" s="101">
        <f>E11+E12+E13+E14+E15+E16</f>
        <v>23294.466505959612</v>
      </c>
      <c r="F17" s="110">
        <f>F11+F12+F13+F14+F15+F16</f>
        <v>264.09150481633577</v>
      </c>
      <c r="H17" s="526" t="s">
        <v>98</v>
      </c>
      <c r="L17" s="101">
        <f>L11+L12+L13+L14+L15+L16</f>
        <v>25402.672315359865</v>
      </c>
      <c r="M17" s="110">
        <f>M11+M12+M13+M14+M15+M16</f>
        <v>314.16882973399066</v>
      </c>
    </row>
    <row r="19" spans="1:13" x14ac:dyDescent="0.25">
      <c r="C19" s="521" t="s">
        <v>198</v>
      </c>
      <c r="D19" s="387">
        <f>2*PI()*(SQRT(F17/E17))</f>
        <v>0.66900705813318617</v>
      </c>
      <c r="E19" s="526"/>
      <c r="F19" s="526"/>
      <c r="H19" s="526"/>
      <c r="I19" s="526"/>
      <c r="J19" s="521" t="s">
        <v>198</v>
      </c>
      <c r="K19" s="387">
        <f>2*PI()*(SQRT(M17/L17))</f>
        <v>0.69874982560284327</v>
      </c>
    </row>
  </sheetData>
  <mergeCells count="2">
    <mergeCell ref="A1:F1"/>
    <mergeCell ref="H1:M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X56"/>
  <sheetViews>
    <sheetView topLeftCell="R34" zoomScale="80" zoomScaleNormal="80" workbookViewId="0">
      <selection activeCell="V50" sqref="V50"/>
    </sheetView>
  </sheetViews>
  <sheetFormatPr defaultRowHeight="15" x14ac:dyDescent="0.25"/>
  <cols>
    <col min="2" max="2" width="23.5703125" customWidth="1"/>
    <col min="3" max="3" width="12" customWidth="1"/>
    <col min="5" max="5" width="9.28515625" bestFit="1" customWidth="1"/>
    <col min="7" max="7" width="9.5703125" bestFit="1" customWidth="1"/>
    <col min="9" max="9" width="9.5703125" bestFit="1" customWidth="1"/>
    <col min="12" max="12" width="10.5703125" bestFit="1" customWidth="1"/>
    <col min="14" max="14" width="10.5703125" bestFit="1" customWidth="1"/>
    <col min="16" max="16" width="10.5703125" bestFit="1" customWidth="1"/>
    <col min="17" max="17" width="11.85546875" customWidth="1"/>
    <col min="18" max="18" width="10.85546875" customWidth="1"/>
    <col min="19" max="19" width="13.7109375" customWidth="1"/>
    <col min="20" max="20" width="11.5703125" customWidth="1"/>
    <col min="21" max="21" width="11.85546875" customWidth="1"/>
    <col min="22" max="22" width="11.7109375" customWidth="1"/>
  </cols>
  <sheetData>
    <row r="2" spans="2:23" x14ac:dyDescent="0.25">
      <c r="B2" s="102" t="s">
        <v>204</v>
      </c>
    </row>
    <row r="4" spans="2:23" x14ac:dyDescent="0.25">
      <c r="B4" s="164"/>
      <c r="C4" s="39"/>
    </row>
    <row r="5" spans="2:23" x14ac:dyDescent="0.25">
      <c r="B5" s="174" t="s">
        <v>242</v>
      </c>
      <c r="D5" s="167" t="s">
        <v>207</v>
      </c>
      <c r="E5" s="176">
        <v>0.95</v>
      </c>
      <c r="F5" s="176"/>
      <c r="G5" s="176">
        <v>4.8499999999999996</v>
      </c>
      <c r="H5" s="176"/>
      <c r="I5" s="176">
        <v>9.65</v>
      </c>
      <c r="J5" s="176"/>
      <c r="K5" s="176"/>
      <c r="L5" s="176">
        <v>14.45</v>
      </c>
      <c r="M5" s="176"/>
      <c r="N5" s="176">
        <v>19.649999999999999</v>
      </c>
      <c r="O5" s="176"/>
      <c r="P5" s="176">
        <v>23.55</v>
      </c>
      <c r="Q5" s="167"/>
      <c r="T5" s="167"/>
    </row>
    <row r="6" spans="2:23" x14ac:dyDescent="0.25">
      <c r="D6" s="167"/>
      <c r="E6" s="176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</row>
    <row r="7" spans="2:23" x14ac:dyDescent="0.25">
      <c r="C7" s="167" t="s">
        <v>206</v>
      </c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74" t="s">
        <v>175</v>
      </c>
      <c r="S7" s="174" t="s">
        <v>209</v>
      </c>
      <c r="T7" s="174" t="s">
        <v>210</v>
      </c>
    </row>
    <row r="8" spans="2:23" x14ac:dyDescent="0.25">
      <c r="B8" s="240" t="s">
        <v>244</v>
      </c>
      <c r="C8" s="176">
        <v>16.350000000000001</v>
      </c>
      <c r="D8" s="167"/>
      <c r="E8" s="352">
        <f>Rigidezze!E22</f>
        <v>19.903419469754304</v>
      </c>
      <c r="F8" s="186"/>
      <c r="G8" s="244">
        <f>Rigidezze!E23</f>
        <v>12.925906090782766</v>
      </c>
      <c r="H8" s="186"/>
      <c r="I8" s="353">
        <f>Rigidezze!E22</f>
        <v>19.903419469754304</v>
      </c>
      <c r="J8" s="167"/>
      <c r="K8" s="167"/>
      <c r="L8" s="352">
        <f>Rigidezze!E22</f>
        <v>19.903419469754304</v>
      </c>
      <c r="M8" s="186"/>
      <c r="N8" s="244">
        <f>Rigidezze!E23</f>
        <v>12.925906090782766</v>
      </c>
      <c r="O8" s="186"/>
      <c r="P8" s="235">
        <f>Rigidezze!E24</f>
        <v>10.850323192068428</v>
      </c>
      <c r="Q8" s="167"/>
      <c r="R8" s="29">
        <f>E8+G8+I8+L8+N8+P8</f>
        <v>96.412393782896871</v>
      </c>
      <c r="S8" s="29">
        <f>R8*C8</f>
        <v>1576.342638350364</v>
      </c>
      <c r="T8" s="29">
        <f>R8*(C8^2)</f>
        <v>25773.202137028453</v>
      </c>
    </row>
    <row r="9" spans="2:23" x14ac:dyDescent="0.25">
      <c r="B9" s="240" t="s">
        <v>245</v>
      </c>
      <c r="C9" s="176"/>
      <c r="D9" s="167"/>
      <c r="E9" s="187"/>
      <c r="F9" s="167"/>
      <c r="G9" s="167"/>
      <c r="H9" s="167"/>
      <c r="I9" s="111"/>
      <c r="J9" s="167"/>
      <c r="K9" s="167"/>
      <c r="L9" s="187"/>
      <c r="M9" s="167"/>
      <c r="N9" s="167"/>
      <c r="O9" s="167"/>
      <c r="P9" s="111"/>
      <c r="Q9" s="167"/>
      <c r="R9" s="29"/>
      <c r="S9" s="29"/>
      <c r="T9" s="29"/>
    </row>
    <row r="10" spans="2:23" x14ac:dyDescent="0.25">
      <c r="C10" s="176"/>
      <c r="D10" s="167"/>
      <c r="E10" s="187"/>
      <c r="F10" s="167"/>
      <c r="G10" s="167"/>
      <c r="H10" s="167"/>
      <c r="I10" s="111"/>
      <c r="J10" s="167"/>
      <c r="K10" s="167"/>
      <c r="L10" s="187"/>
      <c r="M10" s="167"/>
      <c r="N10" s="167"/>
      <c r="O10" s="167"/>
      <c r="P10" s="111"/>
      <c r="Q10" s="167"/>
      <c r="R10" s="29"/>
      <c r="S10" s="29"/>
      <c r="T10" s="29"/>
    </row>
    <row r="11" spans="2:23" x14ac:dyDescent="0.25">
      <c r="B11" s="242" t="s">
        <v>244</v>
      </c>
      <c r="C11" s="176"/>
      <c r="D11" s="167"/>
      <c r="E11" s="187"/>
      <c r="F11" s="167"/>
      <c r="G11" s="167"/>
      <c r="H11" s="167"/>
      <c r="I11" s="111"/>
      <c r="J11" s="167"/>
      <c r="K11" s="167"/>
      <c r="L11" s="187"/>
      <c r="M11" s="167"/>
      <c r="N11" s="167"/>
      <c r="O11" s="167"/>
      <c r="P11" s="111"/>
      <c r="Q11" s="167"/>
      <c r="R11" s="29"/>
      <c r="S11" s="29"/>
      <c r="T11" s="29"/>
    </row>
    <row r="12" spans="2:23" x14ac:dyDescent="0.25">
      <c r="B12" s="242" t="s">
        <v>246</v>
      </c>
      <c r="C12" s="176">
        <v>11.35</v>
      </c>
      <c r="D12" s="167"/>
      <c r="E12" s="187"/>
      <c r="F12" s="167"/>
      <c r="G12" s="167"/>
      <c r="H12" s="167"/>
      <c r="I12" s="111"/>
      <c r="J12" s="167"/>
      <c r="K12" s="167"/>
      <c r="L12" s="187"/>
      <c r="M12" s="167"/>
      <c r="N12" s="167"/>
      <c r="O12" s="167"/>
      <c r="P12" s="111"/>
      <c r="Q12" s="167"/>
      <c r="R12" s="29">
        <f>E13+G13+N13+P13</f>
        <v>79.613677879017217</v>
      </c>
      <c r="S12" s="29">
        <f>R12*C12</f>
        <v>903.61524392684544</v>
      </c>
      <c r="T12" s="29">
        <f>R12*(C12^2)</f>
        <v>10256.033018569695</v>
      </c>
    </row>
    <row r="13" spans="2:23" x14ac:dyDescent="0.25">
      <c r="C13" s="176">
        <v>11.15</v>
      </c>
      <c r="D13" s="167"/>
      <c r="E13" s="357">
        <f>Rigidezze!E22</f>
        <v>19.903419469754304</v>
      </c>
      <c r="F13" s="167"/>
      <c r="G13" s="354">
        <f>Rigidezze!E22</f>
        <v>19.903419469754304</v>
      </c>
      <c r="H13" s="167"/>
      <c r="I13" s="236">
        <f>Rigidezze!E24</f>
        <v>10.850323192068428</v>
      </c>
      <c r="J13" s="186"/>
      <c r="K13" s="201"/>
      <c r="L13" s="236">
        <f>Rigidezze!E24</f>
        <v>10.850323192068428</v>
      </c>
      <c r="M13" s="167"/>
      <c r="N13" s="354">
        <f>Rigidezze!E22</f>
        <v>19.903419469754304</v>
      </c>
      <c r="O13" s="167"/>
      <c r="P13" s="355">
        <f>Rigidezze!E22</f>
        <v>19.903419469754304</v>
      </c>
      <c r="Q13" s="167"/>
      <c r="R13" s="29">
        <f>I13+L13</f>
        <v>21.700646384136856</v>
      </c>
      <c r="S13" s="29">
        <f>R13*C13</f>
        <v>241.96220718312597</v>
      </c>
      <c r="T13" s="29">
        <f>R13*(C13^2)</f>
        <v>2697.8786100918546</v>
      </c>
    </row>
    <row r="14" spans="2:23" x14ac:dyDescent="0.25">
      <c r="B14" s="241" t="s">
        <v>247</v>
      </c>
      <c r="D14" s="167"/>
      <c r="E14" s="187"/>
      <c r="F14" s="167"/>
      <c r="G14" s="167"/>
      <c r="H14" s="167"/>
      <c r="I14" s="167"/>
      <c r="J14" s="122"/>
      <c r="K14" s="122"/>
      <c r="L14" s="167"/>
      <c r="M14" s="167"/>
      <c r="N14" s="167"/>
      <c r="O14" s="167"/>
      <c r="P14" s="111"/>
      <c r="Q14" s="167"/>
    </row>
    <row r="15" spans="2:23" x14ac:dyDescent="0.25">
      <c r="B15" s="241" t="s">
        <v>245</v>
      </c>
      <c r="C15" s="176"/>
      <c r="D15" s="167"/>
      <c r="E15" s="18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11"/>
      <c r="Q15" s="167"/>
      <c r="R15" s="29"/>
      <c r="S15" s="29"/>
      <c r="T15" s="29"/>
    </row>
    <row r="16" spans="2:23" x14ac:dyDescent="0.25">
      <c r="C16" s="176"/>
      <c r="D16" s="167"/>
      <c r="E16" s="18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11"/>
      <c r="Q16" s="167"/>
      <c r="R16" s="29"/>
      <c r="S16" s="29"/>
      <c r="T16" s="29"/>
    </row>
    <row r="17" spans="2:23" x14ac:dyDescent="0.25">
      <c r="B17" s="243" t="s">
        <v>247</v>
      </c>
      <c r="C17" s="176">
        <v>6.85</v>
      </c>
      <c r="D17" s="167"/>
      <c r="E17" s="18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11"/>
      <c r="Q17" s="167"/>
      <c r="R17" s="29">
        <f>E18+G18</f>
        <v>21.700646384136856</v>
      </c>
      <c r="S17" s="29">
        <f>R17*C17</f>
        <v>148.64942773133745</v>
      </c>
      <c r="T17" s="29">
        <f>R17*(C17^2)</f>
        <v>1018.2485799596615</v>
      </c>
    </row>
    <row r="18" spans="2:23" x14ac:dyDescent="0.25">
      <c r="B18" s="243" t="s">
        <v>246</v>
      </c>
      <c r="C18" s="176">
        <v>6.65</v>
      </c>
      <c r="D18" s="167"/>
      <c r="E18" s="237">
        <f>Rigidezze!E24</f>
        <v>10.850323192068428</v>
      </c>
      <c r="F18" s="167"/>
      <c r="G18" s="236">
        <f>Rigidezze!E24</f>
        <v>10.850323192068428</v>
      </c>
      <c r="H18" s="167"/>
      <c r="I18" s="354">
        <f>Rigidezze!E22</f>
        <v>19.903419469754304</v>
      </c>
      <c r="J18" s="167"/>
      <c r="K18" s="167"/>
      <c r="L18" s="247">
        <f>Rigidezze!E21</f>
        <v>30.13319813243719</v>
      </c>
      <c r="M18" s="167"/>
      <c r="N18" s="245">
        <f>Rigidezze!E23</f>
        <v>12.925906090782766</v>
      </c>
      <c r="O18" s="167"/>
      <c r="P18" s="355">
        <f>Rigidezze!E22</f>
        <v>19.903419469754304</v>
      </c>
      <c r="Q18" s="167"/>
      <c r="R18" s="29">
        <f>I18+L18+P18</f>
        <v>69.940037071945795</v>
      </c>
      <c r="S18" s="29">
        <f>R18*C18</f>
        <v>465.10124652843956</v>
      </c>
      <c r="T18" s="29">
        <f>R18*(C18^2)</f>
        <v>3092.9232894141232</v>
      </c>
    </row>
    <row r="19" spans="2:23" x14ac:dyDescent="0.25">
      <c r="C19" s="176">
        <v>6.35</v>
      </c>
      <c r="D19" s="167"/>
      <c r="E19" s="18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11" t="s">
        <v>205</v>
      </c>
      <c r="Q19" s="167"/>
      <c r="R19" s="29">
        <f>N18</f>
        <v>12.925906090782766</v>
      </c>
      <c r="S19" s="29">
        <f>R19*C19</f>
        <v>82.079503676470551</v>
      </c>
      <c r="T19" s="29">
        <f>R19*(C19^2)</f>
        <v>521.20484834558806</v>
      </c>
    </row>
    <row r="20" spans="2:23" x14ac:dyDescent="0.25">
      <c r="C20" s="176"/>
      <c r="D20" s="167"/>
      <c r="E20" s="18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11"/>
      <c r="Q20" s="167"/>
      <c r="R20" s="29"/>
      <c r="S20" s="29"/>
      <c r="T20" s="29"/>
      <c r="V20" s="118" t="s">
        <v>257</v>
      </c>
      <c r="W20" s="291">
        <f>SQRT(S35/R26)</f>
        <v>9.7110755834174043</v>
      </c>
    </row>
    <row r="21" spans="2:23" x14ac:dyDescent="0.25">
      <c r="C21" s="176"/>
      <c r="D21" s="167"/>
      <c r="E21" s="18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11"/>
      <c r="Q21" s="167"/>
      <c r="R21" s="29"/>
      <c r="S21" s="29"/>
      <c r="T21" s="29"/>
    </row>
    <row r="22" spans="2:23" x14ac:dyDescent="0.25">
      <c r="C22" s="176">
        <v>1.55</v>
      </c>
      <c r="D22" s="167"/>
      <c r="E22" s="18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11"/>
      <c r="Q22" s="167"/>
      <c r="R22" s="29">
        <f>E23</f>
        <v>10.850323192068428</v>
      </c>
      <c r="S22" s="29">
        <f>R22*C22</f>
        <v>16.818000947706064</v>
      </c>
      <c r="T22" s="29">
        <f>R22*(C22^2)</f>
        <v>26.067901468944402</v>
      </c>
      <c r="V22" s="178" t="s">
        <v>208</v>
      </c>
      <c r="W22" s="179">
        <v>8.44</v>
      </c>
    </row>
    <row r="23" spans="2:23" x14ac:dyDescent="0.25">
      <c r="C23" s="176">
        <v>1.35</v>
      </c>
      <c r="D23" s="167"/>
      <c r="E23" s="238">
        <f>Rigidezze!E24</f>
        <v>10.850323192068428</v>
      </c>
      <c r="F23" s="189"/>
      <c r="G23" s="248">
        <f>Rigidezze!E21</f>
        <v>30.13319813243719</v>
      </c>
      <c r="H23" s="189"/>
      <c r="I23" s="356">
        <f>Rigidezze!E22</f>
        <v>19.903419469754304</v>
      </c>
      <c r="J23" s="189"/>
      <c r="K23" s="189"/>
      <c r="L23" s="356">
        <f>Rigidezze!E22</f>
        <v>19.903419469754304</v>
      </c>
      <c r="M23" s="189"/>
      <c r="N23" s="246">
        <f>Rigidezze!E23</f>
        <v>12.925906090782766</v>
      </c>
      <c r="O23" s="189"/>
      <c r="P23" s="239">
        <f>Rigidezze!E24</f>
        <v>10.850323192068428</v>
      </c>
      <c r="Q23" s="167"/>
      <c r="R23" s="29">
        <f>G23+I23+L23</f>
        <v>69.940037071945795</v>
      </c>
      <c r="S23" s="29">
        <f>R23*C23</f>
        <v>94.419050047126831</v>
      </c>
      <c r="T23" s="29">
        <f>R23*(C23^2)</f>
        <v>127.46571756362123</v>
      </c>
      <c r="V23" s="180" t="s">
        <v>206</v>
      </c>
      <c r="W23" s="181">
        <f>S26/R26</f>
        <v>8.740920417735035</v>
      </c>
    </row>
    <row r="24" spans="2:23" x14ac:dyDescent="0.25">
      <c r="C24" s="176">
        <v>1.1499999999999999</v>
      </c>
      <c r="R24" s="29">
        <f>N23+P23</f>
        <v>23.776229282851194</v>
      </c>
      <c r="S24" s="29">
        <f>R24*C24</f>
        <v>27.342663675278871</v>
      </c>
      <c r="T24" s="29">
        <f>R24*(C24^2)</f>
        <v>31.444063226570698</v>
      </c>
      <c r="V24" s="208"/>
      <c r="W24" s="208"/>
    </row>
    <row r="25" spans="2:23" x14ac:dyDescent="0.25">
      <c r="D25" s="188"/>
      <c r="E25" s="185"/>
      <c r="F25" s="184"/>
      <c r="G25" s="185"/>
      <c r="H25" s="184"/>
      <c r="I25" s="185"/>
      <c r="J25" s="184"/>
      <c r="K25" s="184"/>
      <c r="L25" s="185"/>
      <c r="M25" s="184"/>
      <c r="N25" s="185"/>
      <c r="O25" s="184"/>
      <c r="P25" s="185"/>
      <c r="Q25" s="188"/>
      <c r="V25" s="271" t="s">
        <v>250</v>
      </c>
      <c r="W25" s="272">
        <f>ABS(W22-W23)</f>
        <v>0.30092041773503553</v>
      </c>
    </row>
    <row r="26" spans="2:23" x14ac:dyDescent="0.25"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Q26" s="167"/>
      <c r="R26" s="177">
        <f>R8+R12+R17+R22+R23+R24+R13+R18+R19</f>
        <v>406.85989713978176</v>
      </c>
      <c r="S26" s="177">
        <f>S8+S12+S17+S22+S23+S24+S13+S18+S19</f>
        <v>3556.3299820666948</v>
      </c>
      <c r="T26" s="177">
        <f>T8+T12+T17+T22+T13+T18+T19+T23+T24</f>
        <v>43544.468165668506</v>
      </c>
      <c r="V26" s="269">
        <v>0.05</v>
      </c>
      <c r="W26" s="270">
        <f>(C8/100)*5</f>
        <v>0.8175</v>
      </c>
    </row>
    <row r="27" spans="2:23" x14ac:dyDescent="0.25"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Q27" s="167"/>
      <c r="V27" s="610"/>
      <c r="W27" s="610"/>
    </row>
    <row r="28" spans="2:23" x14ac:dyDescent="0.25"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Q28" s="250"/>
      <c r="V28" s="122"/>
      <c r="W28" s="122"/>
    </row>
    <row r="29" spans="2:23" x14ac:dyDescent="0.25"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</row>
    <row r="30" spans="2:23" x14ac:dyDescent="0.25"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</row>
    <row r="31" spans="2:23" x14ac:dyDescent="0.25">
      <c r="B31" s="174" t="s">
        <v>243</v>
      </c>
      <c r="D31" s="167" t="s">
        <v>207</v>
      </c>
      <c r="E31" s="176">
        <v>0.95</v>
      </c>
      <c r="F31" s="176"/>
      <c r="G31" s="176">
        <v>4.8499999999999996</v>
      </c>
      <c r="H31" s="176"/>
      <c r="I31" s="176">
        <v>9.65</v>
      </c>
      <c r="J31" s="176"/>
      <c r="K31" s="176"/>
      <c r="L31" s="176">
        <v>14.45</v>
      </c>
      <c r="M31" s="176"/>
      <c r="N31" s="176">
        <v>19.649999999999999</v>
      </c>
      <c r="O31" s="176"/>
      <c r="P31" s="176">
        <v>23.55</v>
      </c>
      <c r="Q31" s="167"/>
    </row>
    <row r="32" spans="2:23" x14ac:dyDescent="0.25">
      <c r="D32" s="167"/>
      <c r="E32" s="176">
        <v>1.35</v>
      </c>
      <c r="F32" s="167"/>
      <c r="G32" s="176">
        <v>4.6500000000000004</v>
      </c>
      <c r="H32" s="167"/>
      <c r="I32" s="176">
        <v>9.85</v>
      </c>
      <c r="J32" s="167"/>
      <c r="K32" s="167"/>
      <c r="L32" s="176">
        <v>14.65</v>
      </c>
      <c r="M32" s="167"/>
      <c r="N32" s="176">
        <v>19.850000000000001</v>
      </c>
      <c r="O32" s="167"/>
      <c r="P32" s="176">
        <v>23.35</v>
      </c>
      <c r="Q32" s="167"/>
      <c r="R32" s="167"/>
      <c r="S32" s="167"/>
      <c r="T32" s="167"/>
    </row>
    <row r="33" spans="2:23" x14ac:dyDescent="0.25">
      <c r="C33" s="167" t="s">
        <v>206</v>
      </c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88"/>
      <c r="S33" s="88"/>
      <c r="T33" s="88"/>
      <c r="U33" s="62"/>
      <c r="V33" s="62"/>
      <c r="W33" s="62"/>
    </row>
    <row r="34" spans="2:23" x14ac:dyDescent="0.25">
      <c r="B34" s="240" t="s">
        <v>244</v>
      </c>
      <c r="C34" s="176">
        <v>16.350000000000001</v>
      </c>
      <c r="D34" s="167"/>
      <c r="E34" s="234">
        <f>Rigidezze!K22</f>
        <v>15.92755761234188</v>
      </c>
      <c r="F34" s="186"/>
      <c r="G34" s="199">
        <f>Rigidezze!K22</f>
        <v>15.92755761234188</v>
      </c>
      <c r="H34" s="186"/>
      <c r="I34" s="235">
        <f>Rigidezze!K24</f>
        <v>10.850323192068428</v>
      </c>
      <c r="J34" s="167"/>
      <c r="K34" s="167"/>
      <c r="L34" s="234">
        <f>Rigidezze!K24</f>
        <v>10.850323192068428</v>
      </c>
      <c r="M34" s="186"/>
      <c r="N34" s="199">
        <f>Rigidezze!K22</f>
        <v>15.92755761234188</v>
      </c>
      <c r="O34" s="186"/>
      <c r="P34" s="200">
        <f>Rigidezze!K22</f>
        <v>15.92755761234188</v>
      </c>
      <c r="Q34" s="167"/>
      <c r="R34" s="206"/>
      <c r="S34" s="206"/>
      <c r="T34" s="206"/>
      <c r="U34" s="62"/>
      <c r="V34" s="62"/>
      <c r="W34" s="62"/>
    </row>
    <row r="35" spans="2:23" x14ac:dyDescent="0.25">
      <c r="B35" s="240" t="s">
        <v>245</v>
      </c>
      <c r="D35" s="167"/>
      <c r="E35" s="187"/>
      <c r="F35" s="167"/>
      <c r="G35" s="167"/>
      <c r="H35" s="167"/>
      <c r="I35" s="111"/>
      <c r="J35" s="167"/>
      <c r="K35" s="167"/>
      <c r="L35" s="187"/>
      <c r="M35" s="122"/>
      <c r="N35" s="122"/>
      <c r="O35" s="122"/>
      <c r="P35" s="111"/>
      <c r="Q35" s="167"/>
      <c r="R35" s="290" t="s">
        <v>256</v>
      </c>
      <c r="S35" s="290">
        <f>T26+S54-R26*W23^2-S52*V51^2</f>
        <v>38368.918118956281</v>
      </c>
      <c r="T35" s="206"/>
      <c r="U35" s="62"/>
      <c r="V35" s="62"/>
      <c r="W35" s="62"/>
    </row>
    <row r="36" spans="2:23" x14ac:dyDescent="0.25">
      <c r="D36" s="167"/>
      <c r="E36" s="187"/>
      <c r="F36" s="167"/>
      <c r="G36" s="167"/>
      <c r="H36" s="167"/>
      <c r="I36" s="111"/>
      <c r="J36" s="167"/>
      <c r="K36" s="167"/>
      <c r="L36" s="187"/>
      <c r="M36" s="167"/>
      <c r="N36" s="167"/>
      <c r="O36" s="167"/>
      <c r="P36" s="111"/>
      <c r="Q36" s="167"/>
      <c r="R36" s="206"/>
      <c r="S36" s="206"/>
      <c r="T36" s="206"/>
      <c r="U36" s="62"/>
      <c r="V36" s="62"/>
      <c r="W36" s="62"/>
    </row>
    <row r="37" spans="2:23" x14ac:dyDescent="0.25">
      <c r="B37" s="242" t="s">
        <v>244</v>
      </c>
      <c r="D37" s="167"/>
      <c r="E37" s="187"/>
      <c r="F37" s="167"/>
      <c r="G37" s="167"/>
      <c r="H37" s="167"/>
      <c r="I37" s="111"/>
      <c r="J37" s="167"/>
      <c r="K37" s="167"/>
      <c r="L37" s="187"/>
      <c r="M37" s="167"/>
      <c r="N37" s="167"/>
      <c r="O37" s="167"/>
      <c r="P37" s="111"/>
      <c r="Q37" s="167"/>
      <c r="R37" s="206"/>
      <c r="S37" s="206"/>
      <c r="T37" s="206"/>
      <c r="U37" s="62"/>
      <c r="V37" s="62"/>
      <c r="W37" s="62"/>
    </row>
    <row r="38" spans="2:23" x14ac:dyDescent="0.25">
      <c r="B38" s="242" t="s">
        <v>246</v>
      </c>
      <c r="C38" s="176"/>
      <c r="D38" s="167"/>
      <c r="E38" s="187"/>
      <c r="F38" s="167"/>
      <c r="G38" s="167"/>
      <c r="H38" s="167"/>
      <c r="I38" s="111"/>
      <c r="J38" s="167"/>
      <c r="K38" s="167"/>
      <c r="L38" s="187"/>
      <c r="M38" s="167"/>
      <c r="N38" s="167"/>
      <c r="O38" s="167"/>
      <c r="P38" s="111"/>
      <c r="Q38" s="167"/>
      <c r="R38" s="206"/>
      <c r="S38" s="206"/>
      <c r="T38" s="206"/>
      <c r="U38" s="62"/>
      <c r="V38" s="62"/>
      <c r="W38" s="62"/>
    </row>
    <row r="39" spans="2:23" x14ac:dyDescent="0.25">
      <c r="C39" s="176">
        <v>11.15</v>
      </c>
      <c r="D39" s="167"/>
      <c r="E39" s="254">
        <f>Rigidezze!K23</f>
        <v>12.480783206618959</v>
      </c>
      <c r="F39" s="167"/>
      <c r="G39" s="245">
        <f>Rigidezze!K23</f>
        <v>12.480783206618959</v>
      </c>
      <c r="H39" s="167"/>
      <c r="I39" s="252">
        <f>Rigidezze!K21</f>
        <v>29.248899111267956</v>
      </c>
      <c r="J39" s="186"/>
      <c r="K39" s="201"/>
      <c r="L39" s="252">
        <f>Rigidezze!K21</f>
        <v>29.248899111267956</v>
      </c>
      <c r="M39" s="167"/>
      <c r="N39" s="236">
        <f>Rigidezze!K24</f>
        <v>10.850323192068428</v>
      </c>
      <c r="O39" s="167"/>
      <c r="P39" s="255">
        <f>Rigidezze!K23</f>
        <v>12.480783206618959</v>
      </c>
      <c r="Q39" s="167"/>
      <c r="R39" s="206"/>
      <c r="S39" s="206"/>
      <c r="T39" s="206"/>
      <c r="U39" s="62"/>
      <c r="V39" s="62"/>
      <c r="W39" s="62"/>
    </row>
    <row r="40" spans="2:23" x14ac:dyDescent="0.25">
      <c r="B40" s="241" t="s">
        <v>247</v>
      </c>
      <c r="C40" s="176"/>
      <c r="D40" s="167"/>
      <c r="E40" s="18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11"/>
      <c r="Q40" s="167"/>
      <c r="R40" s="206"/>
      <c r="S40" s="206"/>
      <c r="T40" s="206"/>
      <c r="U40" s="62"/>
      <c r="V40" s="62"/>
      <c r="W40" s="62"/>
    </row>
    <row r="41" spans="2:23" x14ac:dyDescent="0.25">
      <c r="B41" s="241" t="s">
        <v>245</v>
      </c>
      <c r="C41" s="176"/>
      <c r="D41" s="167"/>
      <c r="E41" s="18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11"/>
      <c r="Q41" s="167"/>
      <c r="R41" s="206"/>
      <c r="S41" s="206"/>
      <c r="T41" s="206"/>
      <c r="U41" s="62"/>
      <c r="V41" s="62"/>
      <c r="W41" s="62"/>
    </row>
    <row r="42" spans="2:23" x14ac:dyDescent="0.25">
      <c r="C42" s="176"/>
      <c r="D42" s="167"/>
      <c r="E42" s="18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11"/>
      <c r="Q42" s="167"/>
      <c r="R42" s="206"/>
      <c r="S42" s="206"/>
      <c r="T42" s="206"/>
      <c r="U42" s="62"/>
      <c r="V42" s="62"/>
      <c r="W42" s="62"/>
    </row>
    <row r="43" spans="2:23" x14ac:dyDescent="0.25">
      <c r="B43" s="243" t="s">
        <v>247</v>
      </c>
      <c r="C43" s="176"/>
      <c r="D43" s="167"/>
      <c r="E43" s="18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11"/>
      <c r="Q43" s="167"/>
      <c r="R43" s="206"/>
      <c r="S43" s="206"/>
      <c r="T43" s="206"/>
      <c r="U43" s="62"/>
      <c r="V43" s="62"/>
      <c r="W43" s="62"/>
    </row>
    <row r="44" spans="2:23" x14ac:dyDescent="0.25">
      <c r="B44" s="243" t="s">
        <v>246</v>
      </c>
      <c r="C44" s="176">
        <v>6.65</v>
      </c>
      <c r="D44" s="167"/>
      <c r="E44" s="251">
        <f>Rigidezze!K21</f>
        <v>29.248899111267956</v>
      </c>
      <c r="F44" s="167"/>
      <c r="G44" s="252">
        <f>Rigidezze!K21</f>
        <v>29.248899111267956</v>
      </c>
      <c r="H44" s="167"/>
      <c r="I44" s="236">
        <f>Rigidezze!K24</f>
        <v>10.850323192068428</v>
      </c>
      <c r="J44" s="167"/>
      <c r="K44" s="167"/>
      <c r="L44" s="236">
        <f>Rigidezze!K24</f>
        <v>10.850323192068428</v>
      </c>
      <c r="M44" s="167"/>
      <c r="N44" s="175">
        <f>Rigidezze!K22</f>
        <v>15.92755761234188</v>
      </c>
      <c r="O44" s="167"/>
      <c r="P44" s="358">
        <f>Rigidezze!K21</f>
        <v>29.248899111267956</v>
      </c>
      <c r="Q44" s="167"/>
      <c r="R44" s="206"/>
      <c r="S44" s="206"/>
      <c r="T44" s="206"/>
      <c r="U44" s="62"/>
      <c r="V44" s="62"/>
      <c r="W44" s="62"/>
    </row>
    <row r="45" spans="2:23" x14ac:dyDescent="0.25">
      <c r="C45" s="176"/>
      <c r="D45" s="167"/>
      <c r="E45" s="18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11" t="s">
        <v>205</v>
      </c>
      <c r="Q45" s="167"/>
      <c r="R45" s="206"/>
      <c r="S45" s="206"/>
      <c r="T45" s="206"/>
      <c r="U45" s="62"/>
      <c r="V45" s="62"/>
      <c r="W45" s="62"/>
    </row>
    <row r="46" spans="2:23" x14ac:dyDescent="0.25">
      <c r="B46" s="256" t="s">
        <v>244</v>
      </c>
      <c r="C46" s="176"/>
      <c r="D46" s="167"/>
      <c r="E46" s="18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11"/>
      <c r="Q46" s="167"/>
      <c r="R46" s="206"/>
      <c r="S46" s="206"/>
      <c r="T46" s="206"/>
      <c r="U46" s="62"/>
      <c r="V46" s="62"/>
      <c r="W46" s="62"/>
    </row>
    <row r="47" spans="2:23" x14ac:dyDescent="0.25">
      <c r="B47" s="256" t="s">
        <v>249</v>
      </c>
      <c r="C47" s="176"/>
      <c r="D47" s="167"/>
      <c r="E47" s="18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11"/>
      <c r="Q47" s="167"/>
      <c r="R47" s="206"/>
      <c r="S47" s="206"/>
      <c r="T47" s="206"/>
      <c r="U47" s="62"/>
      <c r="V47" s="62"/>
      <c r="W47" s="62"/>
    </row>
    <row r="48" spans="2:23" x14ac:dyDescent="0.25">
      <c r="C48" s="176"/>
      <c r="D48" s="167"/>
      <c r="E48" s="18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11"/>
      <c r="Q48" s="167"/>
      <c r="R48" s="206"/>
      <c r="S48" s="206"/>
      <c r="T48" s="206"/>
      <c r="U48" s="118" t="s">
        <v>258</v>
      </c>
      <c r="V48" s="291">
        <f>SQRT(S35/S52)</f>
        <v>10.019026035243447</v>
      </c>
      <c r="W48" s="62"/>
    </row>
    <row r="49" spans="3:24" x14ac:dyDescent="0.25">
      <c r="C49" s="176">
        <v>1.35</v>
      </c>
      <c r="D49" s="167"/>
      <c r="E49" s="194">
        <f>Rigidezze!K22</f>
        <v>15.92755761234188</v>
      </c>
      <c r="F49" s="189"/>
      <c r="G49" s="253">
        <f>Rigidezze!K24</f>
        <v>10.850323192068428</v>
      </c>
      <c r="H49" s="189"/>
      <c r="I49" s="257">
        <f>Rigidezze!K25</f>
        <v>3.0120376949506205</v>
      </c>
      <c r="J49" s="189"/>
      <c r="K49" s="189"/>
      <c r="L49" s="257">
        <f>Rigidezze!K25</f>
        <v>3.0120376949506205</v>
      </c>
      <c r="M49" s="189"/>
      <c r="N49" s="195">
        <f>Rigidezze!K22</f>
        <v>15.92755761234188</v>
      </c>
      <c r="O49" s="189"/>
      <c r="P49" s="197">
        <f>Rigidezze!K22</f>
        <v>15.92755761234188</v>
      </c>
      <c r="Q49" s="167"/>
      <c r="R49" s="206"/>
      <c r="S49" s="206"/>
      <c r="T49" s="206"/>
      <c r="U49" s="62"/>
      <c r="V49" s="209"/>
      <c r="W49" s="209"/>
      <c r="X49" s="167"/>
    </row>
    <row r="50" spans="3:24" x14ac:dyDescent="0.25"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207"/>
      <c r="S50" s="207"/>
      <c r="T50" s="207"/>
      <c r="U50" s="178" t="s">
        <v>213</v>
      </c>
      <c r="V50" s="179">
        <v>12.29</v>
      </c>
      <c r="W50" s="210"/>
    </row>
    <row r="51" spans="3:24" x14ac:dyDescent="0.25"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U51" s="180" t="s">
        <v>214</v>
      </c>
      <c r="V51" s="181">
        <f>S53/S52</f>
        <v>12.039878761492128</v>
      </c>
    </row>
    <row r="52" spans="3:24" x14ac:dyDescent="0.25">
      <c r="C52" s="167" t="s">
        <v>175</v>
      </c>
      <c r="D52" s="167"/>
      <c r="E52" s="29">
        <f>E34+E39</f>
        <v>28.408340818960838</v>
      </c>
      <c r="F52" s="29">
        <f>E44+E49</f>
        <v>45.176456723609839</v>
      </c>
      <c r="G52" s="29">
        <f>G34+G44</f>
        <v>45.176456723609839</v>
      </c>
      <c r="H52" s="29">
        <f>G39+G49</f>
        <v>23.331106398687389</v>
      </c>
      <c r="I52" s="29">
        <f>I34+I39</f>
        <v>40.099222303336383</v>
      </c>
      <c r="J52" s="29">
        <f>I44+I49</f>
        <v>13.862360887019049</v>
      </c>
      <c r="K52" s="29"/>
      <c r="L52" s="29">
        <f>L39+L49</f>
        <v>32.260936806218574</v>
      </c>
      <c r="M52" s="29">
        <f>L34+L44</f>
        <v>21.700646384136856</v>
      </c>
      <c r="N52" s="29">
        <f>N34+N44+N49</f>
        <v>47.782672837025643</v>
      </c>
      <c r="O52" s="29">
        <f>N39</f>
        <v>10.850323192068428</v>
      </c>
      <c r="P52" s="29">
        <f>P34+P49</f>
        <v>31.855115224683761</v>
      </c>
      <c r="Q52" s="29">
        <f>P39+P44</f>
        <v>41.729682317886912</v>
      </c>
      <c r="S52" s="177">
        <f>Q52+P52+O52+N52+M52+L52+J52+I52+H52+G52+F52+E52</f>
        <v>382.23332061724346</v>
      </c>
    </row>
    <row r="53" spans="3:24" x14ac:dyDescent="0.25">
      <c r="C53" s="167" t="s">
        <v>211</v>
      </c>
      <c r="D53" s="167"/>
      <c r="E53" s="29">
        <f>E52*E31</f>
        <v>26.987923778012796</v>
      </c>
      <c r="F53" s="29">
        <f>F52*E32</f>
        <v>60.988216576873285</v>
      </c>
      <c r="G53" s="29">
        <f>G52*G31</f>
        <v>219.10581510950769</v>
      </c>
      <c r="H53" s="29">
        <f>H52*G32</f>
        <v>108.48964475389637</v>
      </c>
      <c r="I53" s="29">
        <f>I52*I31</f>
        <v>386.95749522719609</v>
      </c>
      <c r="J53" s="29">
        <f>J52*I32</f>
        <v>136.54425473713763</v>
      </c>
      <c r="K53" s="29"/>
      <c r="L53" s="29">
        <f>L52*L31</f>
        <v>466.17053684985837</v>
      </c>
      <c r="M53" s="29">
        <f>M52*L32</f>
        <v>317.91446952760498</v>
      </c>
      <c r="N53" s="29">
        <f>N52*N31</f>
        <v>938.92952124755379</v>
      </c>
      <c r="O53" s="29">
        <f>O52*N32</f>
        <v>215.3789153625583</v>
      </c>
      <c r="P53" s="29">
        <f>P52*P31</f>
        <v>750.18796354130257</v>
      </c>
      <c r="Q53" s="29">
        <f>Q52*P32</f>
        <v>974.3880821226594</v>
      </c>
      <c r="S53" s="177">
        <f>Q53+P53+O53+N53+M53+L53+J53+I53+H53+G53+F53+E53</f>
        <v>4602.0428388341606</v>
      </c>
      <c r="U53" s="271" t="s">
        <v>250</v>
      </c>
      <c r="V53" s="272">
        <f>V50-V51</f>
        <v>0.25012123850787127</v>
      </c>
    </row>
    <row r="54" spans="3:24" x14ac:dyDescent="0.25">
      <c r="C54" s="167" t="s">
        <v>212</v>
      </c>
      <c r="D54" s="167"/>
      <c r="E54" s="29">
        <f>E52*(E32^2)</f>
        <v>51.77420114255613</v>
      </c>
      <c r="F54" s="29">
        <f>F52*(E32^2)</f>
        <v>82.334092378778948</v>
      </c>
      <c r="G54" s="29">
        <f>G52*(G31^2)</f>
        <v>1062.6632032811124</v>
      </c>
      <c r="H54" s="29">
        <f>H53*G32</f>
        <v>504.47684810561816</v>
      </c>
      <c r="I54" s="29">
        <f>I52*(I31^2)</f>
        <v>3734.1398289424424</v>
      </c>
      <c r="J54" s="29">
        <f>J52*(I32^2)</f>
        <v>1344.9609091608056</v>
      </c>
      <c r="K54" s="29"/>
      <c r="L54" s="29">
        <f>L52*(L31^2)</f>
        <v>6736.1642574804528</v>
      </c>
      <c r="M54" s="29">
        <f>M52*(L32^2)</f>
        <v>4657.4469785794126</v>
      </c>
      <c r="N54" s="29">
        <f>N52*(N31^2)</f>
        <v>18449.965092514431</v>
      </c>
      <c r="O54" s="29">
        <f>O52*(N32^2)</f>
        <v>4275.2714699467824</v>
      </c>
      <c r="P54" s="29">
        <f>P52*(P31^2)</f>
        <v>17666.926541397679</v>
      </c>
      <c r="Q54" s="29">
        <f>Q52*(P32^2)</f>
        <v>22751.9617175641</v>
      </c>
      <c r="S54" s="177">
        <f>Q54+P54+O54+N54+M54+L54+J54+I54+H54+G54+F54+E54</f>
        <v>81318.085140494179</v>
      </c>
      <c r="T54" s="167"/>
      <c r="U54" s="269">
        <v>0.05</v>
      </c>
      <c r="V54" s="270">
        <f>(P31/100)*5</f>
        <v>1.1775</v>
      </c>
    </row>
    <row r="56" spans="3:24" x14ac:dyDescent="0.25"/>
  </sheetData>
  <mergeCells count="1">
    <mergeCell ref="V27:W27"/>
  </mergeCells>
  <pageMargins left="0.7" right="0.7" top="0.75" bottom="0.75" header="0.3" footer="0.3"/>
  <pageSetup paperSize="9" orientation="portrait" r:id="rId1"/>
  <ignoredErrors>
    <ignoredError sqref="F53:G53 O53:O54 M53:M54 H53:H54 N53:N54 P53:P54 I53" formula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53"/>
  <sheetViews>
    <sheetView zoomScale="80" zoomScaleNormal="80" workbookViewId="0">
      <selection activeCell="E56" sqref="E56"/>
    </sheetView>
  </sheetViews>
  <sheetFormatPr defaultRowHeight="15" x14ac:dyDescent="0.25"/>
  <cols>
    <col min="2" max="2" width="21.5703125" customWidth="1"/>
    <col min="22" max="22" width="10.5703125" customWidth="1"/>
  </cols>
  <sheetData>
    <row r="2" spans="2:23" x14ac:dyDescent="0.25">
      <c r="B2" s="102" t="s">
        <v>248</v>
      </c>
    </row>
    <row r="4" spans="2:23" x14ac:dyDescent="0.25">
      <c r="B4" s="184"/>
      <c r="C4" s="39"/>
    </row>
    <row r="5" spans="2:23" x14ac:dyDescent="0.25">
      <c r="B5" s="174" t="s">
        <v>242</v>
      </c>
      <c r="D5" s="188" t="s">
        <v>207</v>
      </c>
      <c r="E5" s="176">
        <f>'Bil. Rigid. Piano tipo'!E5+0.5</f>
        <v>1.45</v>
      </c>
      <c r="F5" s="176"/>
      <c r="G5" s="176">
        <f>'Bil. Rigid. Piano tipo'!G5+0.5</f>
        <v>5.35</v>
      </c>
      <c r="H5" s="176"/>
      <c r="I5" s="176">
        <f>'Bil. Rigid. Piano tipo'!I5+0.5</f>
        <v>10.15</v>
      </c>
      <c r="J5" s="176"/>
      <c r="K5" s="176"/>
      <c r="L5" s="176">
        <f>'Bil. Rigid. Piano tipo'!L5+0.5</f>
        <v>14.95</v>
      </c>
      <c r="M5" s="176"/>
      <c r="N5" s="176">
        <f>'Bil. Rigid. Piano tipo'!N5+0.5</f>
        <v>20.149999999999999</v>
      </c>
      <c r="O5" s="176"/>
      <c r="P5" s="176">
        <f>'Bil. Rigid. Piano tipo'!P5+0.5</f>
        <v>24.05</v>
      </c>
      <c r="Q5" s="188"/>
      <c r="T5" s="188"/>
    </row>
    <row r="6" spans="2:23" x14ac:dyDescent="0.25">
      <c r="D6" s="188"/>
      <c r="E6" s="176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2:23" x14ac:dyDescent="0.25">
      <c r="C7" s="188" t="s">
        <v>206</v>
      </c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74" t="s">
        <v>175</v>
      </c>
      <c r="S7" s="174" t="s">
        <v>209</v>
      </c>
      <c r="T7" s="174" t="s">
        <v>210</v>
      </c>
    </row>
    <row r="8" spans="2:23" x14ac:dyDescent="0.25">
      <c r="B8" s="240" t="s">
        <v>244</v>
      </c>
      <c r="C8" s="176">
        <f>'Bil. Rigid. Piano tipo'!C8+0.5</f>
        <v>16.850000000000001</v>
      </c>
      <c r="D8" s="188"/>
      <c r="E8" s="352">
        <f>Rigidezze!S22</f>
        <v>12.58500659738788</v>
      </c>
      <c r="F8" s="186"/>
      <c r="G8" s="244">
        <f>Rigidezze!S23</f>
        <v>11.977099944989302</v>
      </c>
      <c r="H8" s="186"/>
      <c r="I8" s="353">
        <f>Rigidezze!S22</f>
        <v>12.58500659738788</v>
      </c>
      <c r="J8" s="188"/>
      <c r="K8" s="188"/>
      <c r="L8" s="352">
        <f>Rigidezze!S22</f>
        <v>12.58500659738788</v>
      </c>
      <c r="M8" s="186"/>
      <c r="N8" s="244">
        <f>Rigidezze!S23</f>
        <v>11.977099944989302</v>
      </c>
      <c r="O8" s="186"/>
      <c r="P8" s="235">
        <f>Rigidezze!S24</f>
        <v>9.8091657663152887</v>
      </c>
      <c r="Q8" s="188"/>
      <c r="R8" s="29">
        <f>E8+G8+N8+P8</f>
        <v>46.348372253681774</v>
      </c>
      <c r="S8" s="29">
        <f>R8*C8</f>
        <v>780.97007247453791</v>
      </c>
      <c r="T8" s="29">
        <f>R8*(C8^2)</f>
        <v>13159.345721195967</v>
      </c>
    </row>
    <row r="9" spans="2:23" x14ac:dyDescent="0.25">
      <c r="B9" s="240" t="s">
        <v>245</v>
      </c>
      <c r="C9" s="176">
        <v>16.649999999999999</v>
      </c>
      <c r="D9" s="188"/>
      <c r="E9" s="187"/>
      <c r="F9" s="188"/>
      <c r="G9" s="188"/>
      <c r="H9" s="188"/>
      <c r="I9" s="111"/>
      <c r="J9" s="188"/>
      <c r="K9" s="188"/>
      <c r="L9" s="187"/>
      <c r="M9" s="188"/>
      <c r="N9" s="188"/>
      <c r="O9" s="188"/>
      <c r="P9" s="111"/>
      <c r="Q9" s="188"/>
      <c r="R9" s="29">
        <f>I8+L8</f>
        <v>25.170013194775759</v>
      </c>
      <c r="S9" s="29">
        <f>R9*C9</f>
        <v>419.08071969301636</v>
      </c>
      <c r="T9" s="29">
        <f>R9*(C9^2)</f>
        <v>6977.6939828887216</v>
      </c>
    </row>
    <row r="10" spans="2:23" x14ac:dyDescent="0.25">
      <c r="C10" s="176"/>
      <c r="D10" s="188"/>
      <c r="E10" s="187"/>
      <c r="F10" s="188"/>
      <c r="G10" s="188"/>
      <c r="H10" s="188"/>
      <c r="I10" s="111"/>
      <c r="J10" s="188"/>
      <c r="K10" s="188"/>
      <c r="L10" s="187"/>
      <c r="M10" s="188"/>
      <c r="N10" s="188"/>
      <c r="O10" s="188"/>
      <c r="P10" s="111"/>
      <c r="Q10" s="188"/>
      <c r="R10" s="29"/>
      <c r="S10" s="29"/>
      <c r="T10" s="29"/>
    </row>
    <row r="11" spans="2:23" x14ac:dyDescent="0.25">
      <c r="B11" s="242" t="s">
        <v>244</v>
      </c>
      <c r="C11" s="176"/>
      <c r="D11" s="188"/>
      <c r="E11" s="187"/>
      <c r="F11" s="188"/>
      <c r="G11" s="188"/>
      <c r="H11" s="188"/>
      <c r="I11" s="111"/>
      <c r="J11" s="188"/>
      <c r="K11" s="188"/>
      <c r="L11" s="187"/>
      <c r="M11" s="188"/>
      <c r="N11" s="188"/>
      <c r="O11" s="188"/>
      <c r="P11" s="111"/>
      <c r="Q11" s="188"/>
      <c r="R11" s="29"/>
      <c r="S11" s="29"/>
      <c r="T11" s="29"/>
    </row>
    <row r="12" spans="2:23" x14ac:dyDescent="0.25">
      <c r="B12" s="242" t="s">
        <v>246</v>
      </c>
      <c r="C12" s="176">
        <f>'Bil. Rigid. Piano tipo'!C12+0.5</f>
        <v>11.85</v>
      </c>
      <c r="D12" s="188"/>
      <c r="E12" s="187"/>
      <c r="F12" s="188"/>
      <c r="G12" s="188"/>
      <c r="H12" s="188"/>
      <c r="I12" s="111"/>
      <c r="J12" s="188"/>
      <c r="K12" s="188"/>
      <c r="L12" s="187"/>
      <c r="M12" s="188"/>
      <c r="N12" s="188"/>
      <c r="O12" s="188"/>
      <c r="P12" s="111"/>
      <c r="Q12" s="188"/>
      <c r="R12" s="29"/>
      <c r="S12" s="29"/>
      <c r="T12" s="29"/>
    </row>
    <row r="13" spans="2:23" x14ac:dyDescent="0.25">
      <c r="C13" s="176">
        <f>'Bil. Rigid. Piano tipo'!C13+0.5</f>
        <v>11.65</v>
      </c>
      <c r="D13" s="188"/>
      <c r="E13" s="357">
        <f>Rigidezze!S22</f>
        <v>12.58500659738788</v>
      </c>
      <c r="F13" s="188"/>
      <c r="G13" s="354">
        <f>Rigidezze!S22</f>
        <v>12.58500659738788</v>
      </c>
      <c r="H13" s="188"/>
      <c r="I13" s="236">
        <f>Rigidezze!S24</f>
        <v>9.8091657663152887</v>
      </c>
      <c r="J13" s="186"/>
      <c r="K13" s="201"/>
      <c r="L13" s="236">
        <f>Rigidezze!S24</f>
        <v>9.8091657663152887</v>
      </c>
      <c r="M13" s="188"/>
      <c r="N13" s="354">
        <f>Rigidezze!S22</f>
        <v>12.58500659738788</v>
      </c>
      <c r="O13" s="188"/>
      <c r="P13" s="355">
        <f>Rigidezze!S22</f>
        <v>12.58500659738788</v>
      </c>
      <c r="Q13" s="188"/>
      <c r="R13" s="29">
        <f>E13+G13+N13+P13</f>
        <v>50.340026389551518</v>
      </c>
      <c r="S13" s="29">
        <f>R13*C13</f>
        <v>586.46130743827518</v>
      </c>
      <c r="T13" s="29">
        <f>R13*(C13^2)</f>
        <v>6832.2742316559061</v>
      </c>
      <c r="V13" s="290"/>
      <c r="W13" s="290"/>
    </row>
    <row r="14" spans="2:23" x14ac:dyDescent="0.25">
      <c r="B14" s="241" t="s">
        <v>247</v>
      </c>
      <c r="C14" s="176"/>
      <c r="D14" s="188"/>
      <c r="E14" s="187"/>
      <c r="F14" s="188"/>
      <c r="G14" s="188"/>
      <c r="H14" s="188"/>
      <c r="I14" s="188"/>
      <c r="J14" s="122"/>
      <c r="K14" s="122"/>
      <c r="L14" s="188"/>
      <c r="M14" s="188"/>
      <c r="N14" s="188"/>
      <c r="O14" s="188"/>
      <c r="P14" s="111"/>
      <c r="Q14" s="188"/>
      <c r="R14" s="29">
        <f>I13+L13</f>
        <v>19.618331532630577</v>
      </c>
      <c r="S14" s="29">
        <f>R14*C14</f>
        <v>0</v>
      </c>
      <c r="T14" s="29">
        <f>R14*(C14^2)</f>
        <v>0</v>
      </c>
    </row>
    <row r="15" spans="2:23" x14ac:dyDescent="0.25">
      <c r="B15" s="241" t="s">
        <v>245</v>
      </c>
      <c r="C15" s="176"/>
      <c r="D15" s="188"/>
      <c r="E15" s="187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11"/>
      <c r="Q15" s="188"/>
      <c r="R15" s="29"/>
      <c r="S15" s="29"/>
      <c r="T15" s="29"/>
    </row>
    <row r="16" spans="2:23" x14ac:dyDescent="0.25">
      <c r="C16" s="176"/>
      <c r="D16" s="188"/>
      <c r="E16" s="187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11"/>
      <c r="Q16" s="188"/>
      <c r="R16" s="29"/>
      <c r="S16" s="29"/>
      <c r="T16" s="29"/>
    </row>
    <row r="17" spans="2:23" x14ac:dyDescent="0.25">
      <c r="B17" s="243" t="s">
        <v>247</v>
      </c>
      <c r="C17" s="176">
        <f>'Bil. Rigid. Piano tipo'!C17+0.5</f>
        <v>7.35</v>
      </c>
      <c r="D17" s="188"/>
      <c r="E17" s="187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11"/>
      <c r="Q17" s="188"/>
      <c r="R17" s="29">
        <f>E18+G18</f>
        <v>19.618331532630577</v>
      </c>
      <c r="S17" s="29">
        <f>R17*C17</f>
        <v>144.19473676483474</v>
      </c>
      <c r="T17" s="29">
        <f>R17*(C17^2)</f>
        <v>1059.8313152215353</v>
      </c>
    </row>
    <row r="18" spans="2:23" x14ac:dyDescent="0.25">
      <c r="B18" s="243" t="s">
        <v>246</v>
      </c>
      <c r="C18" s="176">
        <f>'Bil. Rigid. Piano tipo'!C18+0.5</f>
        <v>7.15</v>
      </c>
      <c r="D18" s="188"/>
      <c r="E18" s="237">
        <f>Rigidezze!S24</f>
        <v>9.8091657663152887</v>
      </c>
      <c r="F18" s="188"/>
      <c r="G18" s="236">
        <f>Rigidezze!S24</f>
        <v>9.8091657663152887</v>
      </c>
      <c r="H18" s="188"/>
      <c r="I18" s="175">
        <f>Rigidezze!S22</f>
        <v>12.58500659738788</v>
      </c>
      <c r="J18" s="188"/>
      <c r="K18" s="188"/>
      <c r="L18" s="252">
        <f>Rigidezze!S21</f>
        <v>26.064228418814984</v>
      </c>
      <c r="M18" s="188"/>
      <c r="N18" s="245">
        <f>Rigidezze!S23</f>
        <v>11.977099944989302</v>
      </c>
      <c r="O18" s="188"/>
      <c r="P18" s="355">
        <f>Rigidezze!S22</f>
        <v>12.58500659738788</v>
      </c>
      <c r="Q18" s="188"/>
      <c r="R18" s="29">
        <f>I18+L18+P18</f>
        <v>51.234241613590747</v>
      </c>
      <c r="S18" s="29">
        <f>R18*C18</f>
        <v>366.32482753717386</v>
      </c>
      <c r="T18" s="29">
        <f>R18*(C18^2)</f>
        <v>2619.222516890793</v>
      </c>
    </row>
    <row r="19" spans="2:23" x14ac:dyDescent="0.25">
      <c r="C19" s="176">
        <f>'Bil. Rigid. Piano tipo'!C19+0.5</f>
        <v>6.85</v>
      </c>
      <c r="D19" s="188"/>
      <c r="E19" s="187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11"/>
      <c r="Q19" s="188"/>
      <c r="R19" s="29">
        <f>N18</f>
        <v>11.977099944989302</v>
      </c>
      <c r="S19" s="29">
        <f>R19*C19</f>
        <v>82.043134623176712</v>
      </c>
      <c r="T19" s="29">
        <f>R19*(C19^2)</f>
        <v>561.99547216876044</v>
      </c>
    </row>
    <row r="20" spans="2:23" x14ac:dyDescent="0.25">
      <c r="C20" s="176"/>
      <c r="D20" s="188"/>
      <c r="E20" s="187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11"/>
      <c r="Q20" s="188"/>
      <c r="R20" s="29"/>
      <c r="S20" s="29"/>
      <c r="T20" s="29"/>
      <c r="V20" s="118" t="s">
        <v>257</v>
      </c>
      <c r="W20" s="291">
        <f>SQRT(S34/R26)</f>
        <v>8.3481213621542345</v>
      </c>
    </row>
    <row r="21" spans="2:23" x14ac:dyDescent="0.25">
      <c r="C21" s="176"/>
      <c r="D21" s="188"/>
      <c r="E21" s="187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11"/>
      <c r="Q21" s="188"/>
      <c r="R21" s="29"/>
      <c r="S21" s="29"/>
      <c r="T21" s="29"/>
    </row>
    <row r="22" spans="2:23" x14ac:dyDescent="0.25">
      <c r="C22" s="176">
        <f>'Bil. Rigid. Piano tipo'!C22+0.5</f>
        <v>2.0499999999999998</v>
      </c>
      <c r="D22" s="188"/>
      <c r="E22" s="187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11"/>
      <c r="Q22" s="188"/>
      <c r="R22" s="29">
        <f>E23</f>
        <v>9.8091657663152887</v>
      </c>
      <c r="S22" s="29">
        <f>R22*C23</f>
        <v>18.146956667683284</v>
      </c>
      <c r="T22" s="29">
        <f>R22*(C22^2)</f>
        <v>41.223019132939996</v>
      </c>
      <c r="V22" s="178" t="s">
        <v>208</v>
      </c>
      <c r="W22" s="179">
        <v>9.01</v>
      </c>
    </row>
    <row r="23" spans="2:23" x14ac:dyDescent="0.25">
      <c r="C23" s="176">
        <f>'Bil. Rigid. Piano tipo'!C23+0.5</f>
        <v>1.85</v>
      </c>
      <c r="D23" s="188"/>
      <c r="E23" s="238">
        <f>Rigidezze!S24</f>
        <v>9.8091657663152887</v>
      </c>
      <c r="F23" s="189"/>
      <c r="G23" s="258">
        <f>Rigidezze!S21</f>
        <v>26.064228418814984</v>
      </c>
      <c r="H23" s="189"/>
      <c r="I23" s="359">
        <f>Rigidezze!S22</f>
        <v>12.58500659738788</v>
      </c>
      <c r="J23" s="189"/>
      <c r="K23" s="189"/>
      <c r="L23" s="359">
        <f>Rigidezze!S22</f>
        <v>12.58500659738788</v>
      </c>
      <c r="M23" s="189"/>
      <c r="N23" s="246">
        <f>Rigidezze!S23</f>
        <v>11.977099944989302</v>
      </c>
      <c r="O23" s="189"/>
      <c r="P23" s="239">
        <f>Rigidezze!S24</f>
        <v>9.8091657663152887</v>
      </c>
      <c r="Q23" s="188"/>
      <c r="R23" s="29">
        <f>G23+I23+L23</f>
        <v>51.234241613590747</v>
      </c>
      <c r="S23" s="29">
        <f>R23*C23</f>
        <v>94.783346985142884</v>
      </c>
      <c r="T23" s="29">
        <f>R23*(C23^2)</f>
        <v>175.34919192251434</v>
      </c>
      <c r="V23" s="180" t="s">
        <v>206</v>
      </c>
      <c r="W23" s="181">
        <f>S26/R26</f>
        <v>8.2307241857709599</v>
      </c>
    </row>
    <row r="24" spans="2:23" x14ac:dyDescent="0.25">
      <c r="C24" s="176">
        <f>'Bil. Rigid. Piano tipo'!C24+0.5</f>
        <v>1.65</v>
      </c>
      <c r="R24" s="29">
        <f>N23+P23</f>
        <v>21.786265711304591</v>
      </c>
      <c r="S24" s="29">
        <f>R24*C24</f>
        <v>35.947338423652575</v>
      </c>
      <c r="T24" s="29">
        <f>R24*(C24^2)</f>
        <v>59.313108399026738</v>
      </c>
    </row>
    <row r="25" spans="2:23" x14ac:dyDescent="0.25">
      <c r="C25" s="176"/>
      <c r="D25" s="188"/>
      <c r="E25" s="185"/>
      <c r="F25" s="184"/>
      <c r="G25" s="185"/>
      <c r="H25" s="184"/>
      <c r="I25" s="185"/>
      <c r="J25" s="184"/>
      <c r="K25" s="184"/>
      <c r="L25" s="185"/>
      <c r="M25" s="184"/>
      <c r="N25" s="185"/>
      <c r="O25" s="184"/>
      <c r="P25" s="185"/>
      <c r="Q25" s="188"/>
      <c r="V25" s="271" t="s">
        <v>250</v>
      </c>
      <c r="W25" s="272">
        <f>W22-W23</f>
        <v>0.77927581422903991</v>
      </c>
    </row>
    <row r="26" spans="2:23" x14ac:dyDescent="0.25"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77">
        <f>R8+R13+R17+R22+R23+R24+R14+R18+R19+R9</f>
        <v>307.13608955306086</v>
      </c>
      <c r="S26" s="177">
        <f>S8+S13+S17+S22+S23+S24+S14+S18+S19+S9</f>
        <v>2527.9524406074934</v>
      </c>
      <c r="T26" s="177">
        <f>T8+T13+T17+T22+T9+T14+T18+T19+T23+T24</f>
        <v>31486.248559476164</v>
      </c>
      <c r="V26" s="269">
        <v>0.05</v>
      </c>
      <c r="W26" s="270">
        <f>(C8/100)*5</f>
        <v>0.84250000000000003</v>
      </c>
    </row>
    <row r="27" spans="2:23" x14ac:dyDescent="0.25"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</row>
    <row r="28" spans="2:23" x14ac:dyDescent="0.25"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</row>
    <row r="29" spans="2:23" x14ac:dyDescent="0.25"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</row>
    <row r="30" spans="2:23" x14ac:dyDescent="0.25">
      <c r="B30" s="174" t="s">
        <v>243</v>
      </c>
      <c r="D30" s="188" t="s">
        <v>207</v>
      </c>
      <c r="E30" s="176">
        <f>'Bil. Rigid. Piano tipo'!E31+0.5</f>
        <v>1.45</v>
      </c>
      <c r="F30" s="176"/>
      <c r="G30" s="176">
        <f>'Bil. Rigid. Piano tipo'!G31+0.5</f>
        <v>5.35</v>
      </c>
      <c r="H30" s="176"/>
      <c r="I30" s="176">
        <f>'Bil. Rigid. Piano tipo'!I31+0.5</f>
        <v>10.15</v>
      </c>
      <c r="J30" s="176"/>
      <c r="K30" s="176"/>
      <c r="L30" s="176">
        <f>'Bil. Rigid. Piano tipo'!L31+0.5</f>
        <v>14.95</v>
      </c>
      <c r="M30" s="176"/>
      <c r="N30" s="176">
        <f>'Bil. Rigid. Piano tipo'!N31+0.5</f>
        <v>20.149999999999999</v>
      </c>
      <c r="O30" s="176"/>
      <c r="P30" s="176">
        <f>'Bil. Rigid. Piano tipo'!P31+0.5</f>
        <v>24.05</v>
      </c>
      <c r="Q30" s="188"/>
    </row>
    <row r="31" spans="2:23" x14ac:dyDescent="0.25">
      <c r="D31" s="188"/>
      <c r="E31" s="176">
        <f>'Bil. Rigid. Piano tipo'!E32+0.5</f>
        <v>1.85</v>
      </c>
      <c r="F31" s="176"/>
      <c r="G31" s="176">
        <f>'Bil. Rigid. Piano tipo'!G32+0.5</f>
        <v>5.15</v>
      </c>
      <c r="H31" s="176"/>
      <c r="I31" s="176">
        <f>'Bil. Rigid. Piano tipo'!I32+0.5</f>
        <v>10.35</v>
      </c>
      <c r="J31" s="176"/>
      <c r="K31" s="176"/>
      <c r="L31" s="176">
        <f>'Bil. Rigid. Piano tipo'!L32+0.5</f>
        <v>15.15</v>
      </c>
      <c r="M31" s="176"/>
      <c r="N31" s="176">
        <f>'Bil. Rigid. Piano tipo'!N32+0.5</f>
        <v>20.350000000000001</v>
      </c>
      <c r="O31" s="176"/>
      <c r="P31" s="176">
        <f>'Bil. Rigid. Piano tipo'!P32+0.5</f>
        <v>23.85</v>
      </c>
      <c r="Q31" s="188"/>
      <c r="R31" s="188"/>
      <c r="S31" s="188"/>
      <c r="T31" s="188"/>
    </row>
    <row r="32" spans="2:23" x14ac:dyDescent="0.25">
      <c r="C32" s="188" t="s">
        <v>206</v>
      </c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88"/>
      <c r="S32" s="88"/>
      <c r="T32" s="88"/>
      <c r="U32" s="62"/>
      <c r="V32" s="62"/>
      <c r="W32" s="62"/>
    </row>
    <row r="33" spans="2:23" x14ac:dyDescent="0.25">
      <c r="B33" s="240" t="s">
        <v>244</v>
      </c>
      <c r="C33" s="176">
        <v>16.850000000000001</v>
      </c>
      <c r="D33" s="188"/>
      <c r="E33" s="234">
        <f>Rigidezze!Y24</f>
        <v>9.8091657663152887</v>
      </c>
      <c r="F33" s="186"/>
      <c r="G33" s="199">
        <f>Rigidezze!Y22</f>
        <v>13.675385806759618</v>
      </c>
      <c r="H33" s="186"/>
      <c r="I33" s="235">
        <f>Rigidezze!Y24</f>
        <v>9.8091657663152887</v>
      </c>
      <c r="J33" s="188"/>
      <c r="K33" s="188"/>
      <c r="L33" s="234">
        <f>Rigidezze!Y24</f>
        <v>9.8091657663152887</v>
      </c>
      <c r="M33" s="186"/>
      <c r="N33" s="199">
        <f>Rigidezze!Y22</f>
        <v>13.675385806759618</v>
      </c>
      <c r="O33" s="186"/>
      <c r="P33" s="200">
        <f>Rigidezze!Y22</f>
        <v>13.675385806759618</v>
      </c>
      <c r="Q33" s="188"/>
      <c r="R33" s="206"/>
      <c r="S33" s="206"/>
      <c r="T33" s="206"/>
      <c r="U33" s="62"/>
      <c r="V33" s="62"/>
      <c r="W33" s="62"/>
    </row>
    <row r="34" spans="2:23" x14ac:dyDescent="0.25">
      <c r="B34" s="240" t="s">
        <v>245</v>
      </c>
      <c r="D34" s="188"/>
      <c r="E34" s="187"/>
      <c r="F34" s="188"/>
      <c r="G34" s="188"/>
      <c r="H34" s="188"/>
      <c r="I34" s="111"/>
      <c r="J34" s="188"/>
      <c r="K34" s="188"/>
      <c r="L34" s="187"/>
      <c r="M34" s="122"/>
      <c r="N34" s="122"/>
      <c r="O34" s="122"/>
      <c r="P34" s="111"/>
      <c r="Q34" s="188"/>
      <c r="R34" s="290" t="s">
        <v>256</v>
      </c>
      <c r="S34" s="290">
        <f>T26+S53-R26*W22^2-S51*V49^2</f>
        <v>21404.661229889294</v>
      </c>
      <c r="T34" s="206"/>
      <c r="U34" s="62"/>
      <c r="V34" s="62"/>
      <c r="W34" s="62"/>
    </row>
    <row r="35" spans="2:23" x14ac:dyDescent="0.25">
      <c r="D35" s="188"/>
      <c r="E35" s="187"/>
      <c r="F35" s="188"/>
      <c r="G35" s="188"/>
      <c r="H35" s="188"/>
      <c r="I35" s="111"/>
      <c r="J35" s="188"/>
      <c r="K35" s="188"/>
      <c r="L35" s="187"/>
      <c r="M35" s="188"/>
      <c r="N35" s="188"/>
      <c r="O35" s="188"/>
      <c r="P35" s="111"/>
      <c r="Q35" s="188"/>
      <c r="R35" s="206"/>
      <c r="S35" s="206"/>
      <c r="T35" s="206"/>
      <c r="U35" s="62"/>
      <c r="V35" s="62"/>
      <c r="W35" s="62"/>
    </row>
    <row r="36" spans="2:23" x14ac:dyDescent="0.25">
      <c r="B36" s="242" t="s">
        <v>244</v>
      </c>
      <c r="D36" s="188"/>
      <c r="E36" s="187"/>
      <c r="F36" s="188"/>
      <c r="G36" s="188"/>
      <c r="H36" s="188"/>
      <c r="I36" s="111"/>
      <c r="J36" s="188"/>
      <c r="K36" s="188"/>
      <c r="L36" s="187"/>
      <c r="M36" s="188"/>
      <c r="N36" s="188"/>
      <c r="O36" s="188"/>
      <c r="P36" s="111"/>
      <c r="Q36" s="188"/>
      <c r="R36" s="206"/>
      <c r="S36" s="206"/>
      <c r="T36" s="206"/>
      <c r="U36" s="62"/>
      <c r="V36" s="62"/>
      <c r="W36" s="62"/>
    </row>
    <row r="37" spans="2:23" x14ac:dyDescent="0.25">
      <c r="B37" s="242" t="s">
        <v>246</v>
      </c>
      <c r="C37" s="176"/>
      <c r="D37" s="188"/>
      <c r="E37" s="187"/>
      <c r="F37" s="188"/>
      <c r="G37" s="188"/>
      <c r="H37" s="188"/>
      <c r="I37" s="111"/>
      <c r="J37" s="188"/>
      <c r="K37" s="188"/>
      <c r="L37" s="187"/>
      <c r="M37" s="188"/>
      <c r="N37" s="188"/>
      <c r="O37" s="188"/>
      <c r="P37" s="111"/>
      <c r="Q37" s="188"/>
      <c r="R37" s="206"/>
      <c r="S37" s="206"/>
      <c r="T37" s="206"/>
      <c r="U37" s="62"/>
      <c r="V37" s="62"/>
      <c r="W37" s="62"/>
    </row>
    <row r="38" spans="2:23" x14ac:dyDescent="0.25">
      <c r="C38" s="176">
        <v>11.65</v>
      </c>
      <c r="D38" s="188"/>
      <c r="E38" s="254">
        <f>Rigidezze!Y23</f>
        <v>11.500374618622947</v>
      </c>
      <c r="F38" s="188"/>
      <c r="G38" s="245">
        <f>Rigidezze!Y23</f>
        <v>11.500374618622947</v>
      </c>
      <c r="H38" s="188"/>
      <c r="I38" s="252">
        <f>Rigidezze!Y21</f>
        <v>25.279048920842385</v>
      </c>
      <c r="J38" s="186"/>
      <c r="K38" s="201"/>
      <c r="L38" s="252">
        <f>Rigidezze!K23</f>
        <v>12.480783206618959</v>
      </c>
      <c r="M38" s="188"/>
      <c r="N38" s="236">
        <f>Rigidezze!Y24</f>
        <v>9.8091657663152887</v>
      </c>
      <c r="O38" s="188"/>
      <c r="P38" s="255">
        <f>Rigidezze!Y23</f>
        <v>11.500374618622947</v>
      </c>
      <c r="Q38" s="188"/>
      <c r="R38" s="206"/>
      <c r="S38" s="206"/>
      <c r="T38" s="206"/>
      <c r="U38" s="62"/>
      <c r="V38" s="62"/>
      <c r="W38" s="62"/>
    </row>
    <row r="39" spans="2:23" x14ac:dyDescent="0.25">
      <c r="B39" s="241" t="s">
        <v>247</v>
      </c>
      <c r="C39" s="176"/>
      <c r="D39" s="188"/>
      <c r="E39" s="187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11"/>
      <c r="Q39" s="188"/>
      <c r="R39" s="206"/>
      <c r="S39" s="206"/>
      <c r="T39" s="206"/>
      <c r="U39" s="62"/>
      <c r="V39" s="62"/>
      <c r="W39" s="62"/>
    </row>
    <row r="40" spans="2:23" x14ac:dyDescent="0.25">
      <c r="B40" s="241" t="s">
        <v>245</v>
      </c>
      <c r="C40" s="176"/>
      <c r="D40" s="188"/>
      <c r="E40" s="187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11"/>
      <c r="Q40" s="188"/>
      <c r="R40" s="206"/>
      <c r="S40" s="206"/>
      <c r="T40" s="206"/>
      <c r="U40" s="62"/>
      <c r="V40" s="62"/>
      <c r="W40" s="62"/>
    </row>
    <row r="41" spans="2:23" x14ac:dyDescent="0.25">
      <c r="C41" s="176"/>
      <c r="D41" s="188"/>
      <c r="E41" s="187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11"/>
      <c r="Q41" s="188"/>
      <c r="R41" s="206"/>
      <c r="S41" s="206"/>
      <c r="T41" s="206"/>
      <c r="U41" s="62"/>
      <c r="V41" s="62"/>
      <c r="W41" s="62"/>
    </row>
    <row r="42" spans="2:23" x14ac:dyDescent="0.25">
      <c r="B42" s="243" t="s">
        <v>247</v>
      </c>
      <c r="C42" s="176"/>
      <c r="D42" s="188"/>
      <c r="E42" s="187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11"/>
      <c r="Q42" s="188"/>
      <c r="R42" s="206"/>
      <c r="S42" s="206"/>
      <c r="T42" s="206"/>
      <c r="U42" s="62"/>
      <c r="V42" s="62"/>
      <c r="W42" s="62"/>
    </row>
    <row r="43" spans="2:23" x14ac:dyDescent="0.25">
      <c r="B43" s="243" t="s">
        <v>246</v>
      </c>
      <c r="C43" s="176">
        <v>7.15</v>
      </c>
      <c r="D43" s="188"/>
      <c r="E43" s="251">
        <f>Rigidezze!Y21</f>
        <v>25.279048920842385</v>
      </c>
      <c r="F43" s="188"/>
      <c r="G43" s="252">
        <f>Rigidezze!Y21</f>
        <v>25.279048920842385</v>
      </c>
      <c r="H43" s="188"/>
      <c r="I43" s="236">
        <f>Rigidezze!Y24</f>
        <v>9.8091657663152887</v>
      </c>
      <c r="J43" s="188"/>
      <c r="K43" s="188"/>
      <c r="L43" s="236">
        <f>Rigidezze!Y24</f>
        <v>9.8091657663152887</v>
      </c>
      <c r="M43" s="188"/>
      <c r="N43" s="175">
        <f>Rigidezze!Y22</f>
        <v>13.675385806759618</v>
      </c>
      <c r="O43" s="188"/>
      <c r="P43" s="255">
        <f>Rigidezze!Y23</f>
        <v>11.500374618622947</v>
      </c>
      <c r="Q43" s="188"/>
      <c r="R43" s="206"/>
      <c r="S43" s="206"/>
      <c r="T43" s="206"/>
      <c r="U43" s="62"/>
      <c r="V43" s="62"/>
      <c r="W43" s="62"/>
    </row>
    <row r="44" spans="2:23" x14ac:dyDescent="0.25">
      <c r="C44" s="176"/>
      <c r="D44" s="188"/>
      <c r="E44" s="187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11" t="s">
        <v>205</v>
      </c>
      <c r="Q44" s="188"/>
      <c r="R44" s="206"/>
      <c r="S44" s="206"/>
      <c r="T44" s="206"/>
      <c r="U44" s="62"/>
      <c r="V44" s="62"/>
      <c r="W44" s="62"/>
    </row>
    <row r="45" spans="2:23" x14ac:dyDescent="0.25">
      <c r="B45" s="256" t="s">
        <v>244</v>
      </c>
      <c r="C45" s="176"/>
      <c r="D45" s="188"/>
      <c r="E45" s="187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11"/>
      <c r="Q45" s="188"/>
      <c r="R45" s="206"/>
      <c r="S45" s="206"/>
      <c r="T45" s="206"/>
      <c r="U45" s="62"/>
      <c r="V45" s="62"/>
      <c r="W45" s="62"/>
    </row>
    <row r="46" spans="2:23" x14ac:dyDescent="0.25">
      <c r="B46" s="256" t="s">
        <v>249</v>
      </c>
      <c r="C46" s="176"/>
      <c r="D46" s="188"/>
      <c r="E46" s="187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11"/>
      <c r="Q46" s="188"/>
      <c r="R46" s="206"/>
      <c r="S46" s="206"/>
      <c r="T46" s="206"/>
      <c r="U46" s="62"/>
      <c r="V46" s="62"/>
      <c r="W46" s="62"/>
    </row>
    <row r="47" spans="2:23" x14ac:dyDescent="0.25">
      <c r="C47" s="176"/>
      <c r="D47" s="188"/>
      <c r="E47" s="187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11"/>
      <c r="Q47" s="188"/>
      <c r="R47" s="206"/>
      <c r="S47" s="206"/>
      <c r="T47" s="206"/>
      <c r="U47" s="118" t="s">
        <v>258</v>
      </c>
      <c r="V47" s="291">
        <f>SQRT(S34/S51)</f>
        <v>8.3538578692957746</v>
      </c>
      <c r="W47" s="62"/>
    </row>
    <row r="48" spans="2:23" x14ac:dyDescent="0.25">
      <c r="C48" s="176">
        <v>1.85</v>
      </c>
      <c r="D48" s="188"/>
      <c r="E48" s="194">
        <f>Rigidezze!Y22</f>
        <v>13.675385806759618</v>
      </c>
      <c r="F48" s="189"/>
      <c r="G48" s="253">
        <f>Rigidezze!Y24</f>
        <v>9.8091657663152887</v>
      </c>
      <c r="H48" s="189"/>
      <c r="I48" s="273">
        <f>Rigidezze!Y25</f>
        <v>4.0015653108545362</v>
      </c>
      <c r="J48" s="189"/>
      <c r="K48" s="189"/>
      <c r="L48" s="273">
        <f>Rigidezze!Y25</f>
        <v>4.0015653108545362</v>
      </c>
      <c r="M48" s="189"/>
      <c r="N48" s="195">
        <f>Rigidezze!Y22</f>
        <v>13.675385806759618</v>
      </c>
      <c r="O48" s="189"/>
      <c r="P48" s="197">
        <f>Rigidezze!Y22</f>
        <v>13.675385806759618</v>
      </c>
      <c r="Q48" s="188"/>
      <c r="R48" s="206"/>
      <c r="S48" s="206"/>
      <c r="T48" s="206"/>
      <c r="U48" s="62"/>
      <c r="V48" s="209"/>
      <c r="W48" s="209"/>
    </row>
    <row r="49" spans="3:23" x14ac:dyDescent="0.25"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207"/>
      <c r="S49" s="207"/>
      <c r="T49" s="207"/>
      <c r="U49" s="178" t="s">
        <v>213</v>
      </c>
      <c r="V49" s="179">
        <v>12.76</v>
      </c>
      <c r="W49" s="210"/>
    </row>
    <row r="50" spans="3:23" x14ac:dyDescent="0.25"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U50" s="180" t="s">
        <v>214</v>
      </c>
      <c r="V50" s="181">
        <f>S52/S51</f>
        <v>12.051854935312178</v>
      </c>
    </row>
    <row r="51" spans="3:23" x14ac:dyDescent="0.25">
      <c r="C51" s="188" t="s">
        <v>175</v>
      </c>
      <c r="D51" s="188"/>
      <c r="E51" s="29">
        <f>E33+E38</f>
        <v>21.309540384938238</v>
      </c>
      <c r="F51" s="29">
        <f>E43+E48</f>
        <v>38.954434727602006</v>
      </c>
      <c r="G51" s="29">
        <f>G33+G43</f>
        <v>38.954434727602006</v>
      </c>
      <c r="H51" s="29">
        <f>G38+G48</f>
        <v>21.309540384938238</v>
      </c>
      <c r="I51" s="29">
        <f>I33+I38</f>
        <v>35.088214687157674</v>
      </c>
      <c r="J51" s="29">
        <f>I43+I48</f>
        <v>13.810731077169825</v>
      </c>
      <c r="K51" s="29"/>
      <c r="L51" s="29">
        <f>L38+L48</f>
        <v>16.482348517473497</v>
      </c>
      <c r="M51" s="29">
        <f>L33+L43</f>
        <v>19.618331532630577</v>
      </c>
      <c r="N51" s="29">
        <f>N33+N43+N48</f>
        <v>41.026157420278849</v>
      </c>
      <c r="O51" s="29">
        <f>N38</f>
        <v>9.8091657663152887</v>
      </c>
      <c r="P51" s="29">
        <f>P33+P48</f>
        <v>27.350771613519235</v>
      </c>
      <c r="Q51" s="29">
        <f>P38+P43</f>
        <v>23.000749237245895</v>
      </c>
      <c r="S51" s="177">
        <f>Q51+P51+O51+N51+M51+L51+J51+I51+H51+G51+F51+E51</f>
        <v>306.71442007687131</v>
      </c>
    </row>
    <row r="52" spans="3:23" x14ac:dyDescent="0.25">
      <c r="C52" s="188" t="s">
        <v>211</v>
      </c>
      <c r="D52" s="188"/>
      <c r="E52" s="29">
        <f>E51*E30</f>
        <v>30.898833558160444</v>
      </c>
      <c r="F52" s="29">
        <f>F51*E31</f>
        <v>72.065704246063717</v>
      </c>
      <c r="G52" s="29">
        <f>G51*G30</f>
        <v>208.40622579267071</v>
      </c>
      <c r="H52" s="29">
        <f>H51*G31</f>
        <v>109.74413298243194</v>
      </c>
      <c r="I52" s="29">
        <f>I51*I30</f>
        <v>356.14537907465041</v>
      </c>
      <c r="J52" s="29">
        <f>J51*I31</f>
        <v>142.94106664870768</v>
      </c>
      <c r="K52" s="29"/>
      <c r="L52" s="29">
        <f>L51*L30</f>
        <v>246.41111033622877</v>
      </c>
      <c r="M52" s="29">
        <f>M51*L31</f>
        <v>297.21772271935328</v>
      </c>
      <c r="N52" s="29">
        <f>N51*N30</f>
        <v>826.67707201861879</v>
      </c>
      <c r="O52" s="29">
        <f>O51*N31</f>
        <v>199.61652334451614</v>
      </c>
      <c r="P52" s="29">
        <f>P51*P30</f>
        <v>657.78605730513766</v>
      </c>
      <c r="Q52" s="29">
        <f>Q51*P31</f>
        <v>548.56786930831458</v>
      </c>
      <c r="S52" s="177">
        <f>Q52+P52+O52+N52+M52+L52+J52+I52+H52+G52+F52+E52</f>
        <v>3696.4776973348544</v>
      </c>
      <c r="U52" s="271" t="s">
        <v>250</v>
      </c>
      <c r="V52" s="272">
        <f>V49-V50</f>
        <v>0.70814506468782135</v>
      </c>
    </row>
    <row r="53" spans="3:23" x14ac:dyDescent="0.25">
      <c r="C53" s="188" t="s">
        <v>212</v>
      </c>
      <c r="D53" s="188"/>
      <c r="E53" s="29">
        <f>E51*(E31^2)</f>
        <v>72.931901967451125</v>
      </c>
      <c r="F53" s="29">
        <f>F51*(E31^2)</f>
        <v>133.32155285521787</v>
      </c>
      <c r="G53" s="29">
        <f>G51*(G30^2)</f>
        <v>1114.9733079907883</v>
      </c>
      <c r="H53" s="29">
        <f>H52*G31</f>
        <v>565.18228485952454</v>
      </c>
      <c r="I53" s="29">
        <f>I51*(I30^2)</f>
        <v>3614.8755976077018</v>
      </c>
      <c r="J53" s="29">
        <f>J51*(I31^2)</f>
        <v>1479.4400398141245</v>
      </c>
      <c r="K53" s="29"/>
      <c r="L53" s="29">
        <f>L51*(L30^2)</f>
        <v>3683.8460995266196</v>
      </c>
      <c r="M53" s="29">
        <f>M51*(L31^2)</f>
        <v>4502.8484991982023</v>
      </c>
      <c r="N53" s="29">
        <f>N51*(N30^2)</f>
        <v>16657.543001175167</v>
      </c>
      <c r="O53" s="29">
        <f>O51*(N31^2)</f>
        <v>4062.1962500609038</v>
      </c>
      <c r="P53" s="29">
        <f>P51*(P30^2)</f>
        <v>15819.754678188561</v>
      </c>
      <c r="Q53" s="29">
        <f>Q51*(P31^2)</f>
        <v>13083.343683003306</v>
      </c>
      <c r="S53" s="177">
        <f>Q53+P53+O53+N53+M53+L53+J53+I53+H53+G53+F53+E53</f>
        <v>64790.256896247571</v>
      </c>
      <c r="T53" s="188"/>
      <c r="U53" s="269">
        <v>0.05</v>
      </c>
      <c r="V53" s="270">
        <f>(P30/100)*5</f>
        <v>1.2025000000000001</v>
      </c>
    </row>
  </sheetData>
  <pageMargins left="0.7" right="0.7" top="0.75" bottom="0.75" header="0.3" footer="0.3"/>
  <ignoredErrors>
    <ignoredError sqref="M52:O53 F52:H53" 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W56"/>
  <sheetViews>
    <sheetView zoomScale="80" zoomScaleNormal="80" workbookViewId="0">
      <selection activeCell="W25" sqref="W25"/>
    </sheetView>
  </sheetViews>
  <sheetFormatPr defaultRowHeight="15" x14ac:dyDescent="0.25"/>
  <cols>
    <col min="2" max="2" width="21.28515625" customWidth="1"/>
  </cols>
  <sheetData>
    <row r="2" spans="2:20" x14ac:dyDescent="0.25">
      <c r="B2" s="102" t="s">
        <v>204</v>
      </c>
    </row>
    <row r="4" spans="2:20" x14ac:dyDescent="0.25">
      <c r="B4" s="300"/>
      <c r="C4" s="39"/>
    </row>
    <row r="5" spans="2:20" x14ac:dyDescent="0.25">
      <c r="B5" s="174" t="s">
        <v>242</v>
      </c>
      <c r="D5" s="307" t="s">
        <v>207</v>
      </c>
      <c r="E5" s="176">
        <v>0.95</v>
      </c>
      <c r="F5" s="176"/>
      <c r="G5" s="176">
        <v>4.8499999999999996</v>
      </c>
      <c r="H5" s="176"/>
      <c r="I5" s="176">
        <v>9.65</v>
      </c>
      <c r="J5" s="176"/>
      <c r="K5" s="176"/>
      <c r="L5" s="176">
        <v>14.45</v>
      </c>
      <c r="M5" s="176"/>
      <c r="N5" s="176">
        <v>19.649999999999999</v>
      </c>
      <c r="O5" s="176"/>
      <c r="P5" s="176">
        <v>23.55</v>
      </c>
      <c r="Q5" s="307"/>
      <c r="T5" s="307"/>
    </row>
    <row r="6" spans="2:20" x14ac:dyDescent="0.25">
      <c r="D6" s="307"/>
      <c r="E6" s="176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</row>
    <row r="7" spans="2:20" x14ac:dyDescent="0.25">
      <c r="C7" s="307" t="s">
        <v>206</v>
      </c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174" t="s">
        <v>175</v>
      </c>
      <c r="S7" s="174" t="s">
        <v>209</v>
      </c>
      <c r="T7" s="174" t="s">
        <v>210</v>
      </c>
    </row>
    <row r="8" spans="2:20" x14ac:dyDescent="0.25">
      <c r="B8" s="240" t="s">
        <v>244</v>
      </c>
      <c r="C8" s="176">
        <v>16.350000000000001</v>
      </c>
      <c r="D8" s="307"/>
      <c r="E8" s="352">
        <f>Rigidezze!E41</f>
        <v>28.2623291015625</v>
      </c>
      <c r="F8" s="303"/>
      <c r="G8" s="244">
        <f>Rigidezze!E42</f>
        <v>14.472150233362962</v>
      </c>
      <c r="H8" s="303"/>
      <c r="I8" s="200">
        <f>Rigidezze!E41</f>
        <v>28.2623291015625</v>
      </c>
      <c r="J8" s="307"/>
      <c r="K8" s="307"/>
      <c r="L8" s="198">
        <f>Rigidezze!E41</f>
        <v>28.2623291015625</v>
      </c>
      <c r="M8" s="303"/>
      <c r="N8" s="244">
        <f>Rigidezze!E42</f>
        <v>14.472150233362962</v>
      </c>
      <c r="O8" s="303"/>
      <c r="P8" s="235">
        <f>Rigidezze!E43</f>
        <v>12.752205789782897</v>
      </c>
      <c r="Q8" s="307"/>
      <c r="R8" s="29">
        <f>E8+G8+I8+L8+N8+P8</f>
        <v>126.48349356119631</v>
      </c>
      <c r="S8" s="29">
        <f>R8*C8</f>
        <v>2068.0051197255598</v>
      </c>
      <c r="T8" s="29">
        <f>R8*(C8^2)</f>
        <v>33811.883707512905</v>
      </c>
    </row>
    <row r="9" spans="2:20" x14ac:dyDescent="0.25">
      <c r="B9" s="240" t="s">
        <v>245</v>
      </c>
      <c r="C9" s="176"/>
      <c r="D9" s="307"/>
      <c r="E9" s="306"/>
      <c r="F9" s="307"/>
      <c r="G9" s="307"/>
      <c r="H9" s="307"/>
      <c r="I9" s="111"/>
      <c r="J9" s="307"/>
      <c r="K9" s="307"/>
      <c r="L9" s="306"/>
      <c r="M9" s="307"/>
      <c r="N9" s="307"/>
      <c r="O9" s="307"/>
      <c r="P9" s="111"/>
      <c r="Q9" s="307"/>
      <c r="R9" s="29"/>
      <c r="S9" s="29"/>
      <c r="T9" s="29"/>
    </row>
    <row r="10" spans="2:20" x14ac:dyDescent="0.25">
      <c r="C10" s="176"/>
      <c r="D10" s="307"/>
      <c r="E10" s="306"/>
      <c r="F10" s="307"/>
      <c r="G10" s="307"/>
      <c r="H10" s="307"/>
      <c r="I10" s="111"/>
      <c r="J10" s="307"/>
      <c r="K10" s="307"/>
      <c r="L10" s="306"/>
      <c r="M10" s="307"/>
      <c r="N10" s="307"/>
      <c r="O10" s="307"/>
      <c r="P10" s="111"/>
      <c r="Q10" s="307"/>
      <c r="R10" s="29"/>
      <c r="S10" s="29"/>
      <c r="T10" s="29"/>
    </row>
    <row r="11" spans="2:20" x14ac:dyDescent="0.25">
      <c r="B11" s="242" t="s">
        <v>244</v>
      </c>
      <c r="C11" s="176"/>
      <c r="D11" s="307"/>
      <c r="E11" s="306"/>
      <c r="F11" s="307"/>
      <c r="G11" s="307"/>
      <c r="H11" s="307"/>
      <c r="I11" s="111"/>
      <c r="J11" s="307"/>
      <c r="K11" s="307"/>
      <c r="L11" s="306"/>
      <c r="M11" s="307"/>
      <c r="N11" s="307"/>
      <c r="O11" s="307"/>
      <c r="P11" s="111"/>
      <c r="Q11" s="307"/>
      <c r="R11" s="29"/>
      <c r="S11" s="29"/>
      <c r="T11" s="29"/>
    </row>
    <row r="12" spans="2:20" x14ac:dyDescent="0.25">
      <c r="B12" s="242" t="s">
        <v>246</v>
      </c>
      <c r="C12" s="176">
        <v>11.35</v>
      </c>
      <c r="D12" s="307"/>
      <c r="E12" s="306"/>
      <c r="F12" s="307"/>
      <c r="G12" s="307"/>
      <c r="H12" s="307"/>
      <c r="I12" s="111"/>
      <c r="J12" s="307"/>
      <c r="K12" s="307"/>
      <c r="L12" s="306"/>
      <c r="M12" s="307"/>
      <c r="N12" s="307"/>
      <c r="O12" s="307"/>
      <c r="P12" s="111"/>
      <c r="Q12" s="307"/>
      <c r="R12" s="29">
        <f>E13+G13+N13+P13</f>
        <v>113.04931640625</v>
      </c>
      <c r="S12" s="29">
        <f>R12*C12</f>
        <v>1283.1097412109375</v>
      </c>
      <c r="T12" s="29">
        <f>R12*(C12^2)</f>
        <v>14563.295562744139</v>
      </c>
    </row>
    <row r="13" spans="2:20" x14ac:dyDescent="0.25">
      <c r="C13" s="176">
        <v>11.15</v>
      </c>
      <c r="D13" s="307"/>
      <c r="E13" s="193">
        <f>Rigidezze!E41</f>
        <v>28.2623291015625</v>
      </c>
      <c r="F13" s="307"/>
      <c r="G13" s="175">
        <f>Rigidezze!E41</f>
        <v>28.2623291015625</v>
      </c>
      <c r="H13" s="307"/>
      <c r="I13" s="236">
        <f>Rigidezze!E43</f>
        <v>12.752205789782897</v>
      </c>
      <c r="J13" s="303"/>
      <c r="K13" s="201"/>
      <c r="L13" s="236">
        <f>Rigidezze!E43</f>
        <v>12.752205789782897</v>
      </c>
      <c r="M13" s="307"/>
      <c r="N13" s="175">
        <f>Rigidezze!E41</f>
        <v>28.2623291015625</v>
      </c>
      <c r="O13" s="307"/>
      <c r="P13" s="196">
        <f>Rigidezze!E41</f>
        <v>28.2623291015625</v>
      </c>
      <c r="Q13" s="307"/>
      <c r="R13" s="29">
        <f>I13+L13</f>
        <v>25.504411579565794</v>
      </c>
      <c r="S13" s="29">
        <f>R13*C13</f>
        <v>284.3741891121586</v>
      </c>
      <c r="T13" s="29">
        <f>R13*(C13^2)</f>
        <v>3170.7722086005683</v>
      </c>
    </row>
    <row r="14" spans="2:20" x14ac:dyDescent="0.25">
      <c r="B14" s="241" t="s">
        <v>247</v>
      </c>
      <c r="D14" s="307"/>
      <c r="E14" s="306"/>
      <c r="F14" s="307"/>
      <c r="G14" s="307"/>
      <c r="H14" s="307"/>
      <c r="I14" s="307"/>
      <c r="J14" s="122"/>
      <c r="K14" s="122"/>
      <c r="L14" s="307"/>
      <c r="M14" s="307"/>
      <c r="N14" s="307"/>
      <c r="O14" s="307"/>
      <c r="P14" s="111"/>
      <c r="Q14" s="307"/>
    </row>
    <row r="15" spans="2:20" x14ac:dyDescent="0.25">
      <c r="B15" s="241" t="s">
        <v>245</v>
      </c>
      <c r="C15" s="176"/>
      <c r="D15" s="307"/>
      <c r="E15" s="306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111"/>
      <c r="Q15" s="307"/>
      <c r="R15" s="29"/>
      <c r="S15" s="29"/>
      <c r="T15" s="29"/>
    </row>
    <row r="16" spans="2:20" x14ac:dyDescent="0.25">
      <c r="C16" s="176"/>
      <c r="D16" s="307"/>
      <c r="E16" s="306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111"/>
      <c r="Q16" s="307"/>
      <c r="R16" s="29"/>
      <c r="S16" s="29"/>
      <c r="T16" s="29"/>
    </row>
    <row r="17" spans="2:23" x14ac:dyDescent="0.25">
      <c r="B17" s="243" t="s">
        <v>247</v>
      </c>
      <c r="C17" s="176">
        <v>6.85</v>
      </c>
      <c r="D17" s="307"/>
      <c r="E17" s="306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111"/>
      <c r="Q17" s="307"/>
      <c r="R17" s="29">
        <f>E18+G18</f>
        <v>25.504411579565794</v>
      </c>
      <c r="S17" s="29">
        <f>R17*C17</f>
        <v>174.70521932002569</v>
      </c>
      <c r="T17" s="29">
        <f>R17*(C17^2)</f>
        <v>1196.7307523421757</v>
      </c>
    </row>
    <row r="18" spans="2:23" x14ac:dyDescent="0.25">
      <c r="B18" s="243" t="s">
        <v>246</v>
      </c>
      <c r="C18" s="176">
        <v>6.65</v>
      </c>
      <c r="D18" s="307"/>
      <c r="E18" s="237">
        <f>Rigidezze!E43</f>
        <v>12.752205789782897</v>
      </c>
      <c r="F18" s="307"/>
      <c r="G18" s="236">
        <f>Rigidezze!E43</f>
        <v>12.752205789782897</v>
      </c>
      <c r="H18" s="307"/>
      <c r="I18" s="175">
        <f>Rigidezze!E41</f>
        <v>28.2623291015625</v>
      </c>
      <c r="J18" s="307"/>
      <c r="K18" s="307"/>
      <c r="L18" s="247">
        <f>Rigidezze!E40</f>
        <v>40.581805889423073</v>
      </c>
      <c r="M18" s="307"/>
      <c r="N18" s="245">
        <f>Rigidezze!E42</f>
        <v>14.472150233362962</v>
      </c>
      <c r="O18" s="307"/>
      <c r="P18" s="196">
        <f>Rigidezze!E41</f>
        <v>28.2623291015625</v>
      </c>
      <c r="Q18" s="307"/>
      <c r="R18" s="29">
        <f>I18+L18+P18</f>
        <v>97.106464092548066</v>
      </c>
      <c r="S18" s="29">
        <f>R18*C18</f>
        <v>645.7579862154447</v>
      </c>
      <c r="T18" s="29">
        <f>R18*(C18^2)</f>
        <v>4294.2906083327071</v>
      </c>
    </row>
    <row r="19" spans="2:23" x14ac:dyDescent="0.25">
      <c r="C19" s="176">
        <v>6.35</v>
      </c>
      <c r="D19" s="307"/>
      <c r="E19" s="306"/>
      <c r="F19" s="307"/>
      <c r="G19" s="307"/>
      <c r="H19" s="307"/>
      <c r="I19" s="307"/>
      <c r="J19" s="307"/>
      <c r="K19" s="307"/>
      <c r="L19" s="307"/>
      <c r="M19" s="307"/>
      <c r="N19" s="307"/>
      <c r="O19" s="307"/>
      <c r="P19" s="111" t="s">
        <v>205</v>
      </c>
      <c r="Q19" s="307"/>
      <c r="R19" s="29">
        <f>N18</f>
        <v>14.472150233362962</v>
      </c>
      <c r="S19" s="29">
        <f>R19*C19</f>
        <v>91.898153981854804</v>
      </c>
      <c r="T19" s="29">
        <f>R19*(C19^2)</f>
        <v>583.55327778477795</v>
      </c>
    </row>
    <row r="20" spans="2:23" x14ac:dyDescent="0.25">
      <c r="C20" s="176"/>
      <c r="D20" s="307"/>
      <c r="E20" s="306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111"/>
      <c r="Q20" s="307"/>
      <c r="R20" s="29"/>
      <c r="S20" s="29"/>
      <c r="T20" s="29"/>
      <c r="V20" s="118" t="s">
        <v>257</v>
      </c>
      <c r="W20" s="291">
        <f>SQRT(S35/R26)</f>
        <v>9.3218932652826734</v>
      </c>
    </row>
    <row r="21" spans="2:23" x14ac:dyDescent="0.25">
      <c r="C21" s="176"/>
      <c r="D21" s="307"/>
      <c r="E21" s="306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111"/>
      <c r="Q21" s="307"/>
      <c r="R21" s="29"/>
      <c r="S21" s="29"/>
      <c r="T21" s="29"/>
    </row>
    <row r="22" spans="2:23" x14ac:dyDescent="0.25">
      <c r="C22" s="176">
        <v>1.55</v>
      </c>
      <c r="D22" s="307"/>
      <c r="E22" s="306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111"/>
      <c r="Q22" s="307"/>
      <c r="R22" s="29">
        <f>E23</f>
        <v>12.752205789782897</v>
      </c>
      <c r="S22" s="29">
        <f>R22*C22</f>
        <v>19.76591897416349</v>
      </c>
      <c r="T22" s="29">
        <f>R22*(C22^2)</f>
        <v>30.637174409953413</v>
      </c>
      <c r="V22" s="178" t="s">
        <v>208</v>
      </c>
      <c r="W22" s="179">
        <v>8.44</v>
      </c>
    </row>
    <row r="23" spans="2:23" x14ac:dyDescent="0.25">
      <c r="C23" s="176">
        <v>1.35</v>
      </c>
      <c r="D23" s="307"/>
      <c r="E23" s="238">
        <f>Rigidezze!E43</f>
        <v>12.752205789782897</v>
      </c>
      <c r="F23" s="308"/>
      <c r="G23" s="248">
        <f>Rigidezze!E40</f>
        <v>40.581805889423073</v>
      </c>
      <c r="H23" s="308"/>
      <c r="I23" s="356">
        <f>Rigidezze!E41</f>
        <v>28.2623291015625</v>
      </c>
      <c r="J23" s="308"/>
      <c r="K23" s="308"/>
      <c r="L23" s="356">
        <f>Rigidezze!E41</f>
        <v>28.2623291015625</v>
      </c>
      <c r="M23" s="308"/>
      <c r="N23" s="246">
        <f>Rigidezze!E42</f>
        <v>14.472150233362962</v>
      </c>
      <c r="O23" s="308"/>
      <c r="P23" s="239">
        <f>Rigidezze!E43</f>
        <v>12.752205789782897</v>
      </c>
      <c r="Q23" s="307"/>
      <c r="R23" s="29">
        <f>G23+I23+L23</f>
        <v>97.106464092548066</v>
      </c>
      <c r="S23" s="29">
        <f>R23*C23</f>
        <v>131.09372652493991</v>
      </c>
      <c r="T23" s="29">
        <f>R23*(C23^2)</f>
        <v>176.97653080866888</v>
      </c>
      <c r="V23" s="180" t="s">
        <v>206</v>
      </c>
      <c r="W23" s="181">
        <f>S26/R26</f>
        <v>8.7722354410699985</v>
      </c>
    </row>
    <row r="24" spans="2:23" x14ac:dyDescent="0.25">
      <c r="C24" s="176">
        <v>1.1499999999999999</v>
      </c>
      <c r="R24" s="29">
        <f>N23+P23</f>
        <v>27.224356023145859</v>
      </c>
      <c r="S24" s="29">
        <f>R24*C24</f>
        <v>31.308009426617737</v>
      </c>
      <c r="T24" s="29">
        <f>R24*(C24^2)</f>
        <v>36.004210840610391</v>
      </c>
      <c r="V24" s="208"/>
      <c r="W24" s="208"/>
    </row>
    <row r="25" spans="2:23" x14ac:dyDescent="0.25">
      <c r="D25" s="307"/>
      <c r="E25" s="213"/>
      <c r="F25" s="300"/>
      <c r="G25" s="213"/>
      <c r="H25" s="300"/>
      <c r="I25" s="213"/>
      <c r="J25" s="300"/>
      <c r="K25" s="300"/>
      <c r="L25" s="213"/>
      <c r="M25" s="300"/>
      <c r="N25" s="213"/>
      <c r="O25" s="300"/>
      <c r="P25" s="213"/>
      <c r="Q25" s="307"/>
      <c r="V25" s="271" t="s">
        <v>250</v>
      </c>
      <c r="W25" s="272">
        <f>ABS(W22-W23)</f>
        <v>0.33223544106999903</v>
      </c>
    </row>
    <row r="26" spans="2:23" x14ac:dyDescent="0.25"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Q26" s="307"/>
      <c r="R26" s="177">
        <f>R8+R12+R17+R22+R23+R24+R13+R18+R19</f>
        <v>539.20327335796583</v>
      </c>
      <c r="S26" s="177">
        <f>S8+S12+S17+S22+S23+S24+S13+S18+S19</f>
        <v>4730.0180644917027</v>
      </c>
      <c r="T26" s="177">
        <f>T8+T12+T17+T22+T13+T18+T19+T23+T24</f>
        <v>57864.144033376513</v>
      </c>
      <c r="V26" s="269">
        <v>0.05</v>
      </c>
      <c r="W26" s="270">
        <f>(C8/100)*5</f>
        <v>0.8175</v>
      </c>
    </row>
    <row r="27" spans="2:23" x14ac:dyDescent="0.25"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Q27" s="307"/>
      <c r="V27" s="610"/>
      <c r="W27" s="610"/>
    </row>
    <row r="28" spans="2:23" x14ac:dyDescent="0.25">
      <c r="D28" s="307"/>
      <c r="E28" s="307"/>
      <c r="F28" s="307"/>
      <c r="G28" s="307"/>
      <c r="H28" s="307"/>
      <c r="I28" s="307"/>
      <c r="J28" s="307"/>
      <c r="K28" s="307"/>
      <c r="L28" s="307"/>
      <c r="M28" s="307"/>
      <c r="N28" s="307"/>
      <c r="Q28" s="307"/>
      <c r="V28" s="122"/>
      <c r="W28" s="122"/>
    </row>
    <row r="29" spans="2:23" x14ac:dyDescent="0.25"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</row>
    <row r="30" spans="2:23" x14ac:dyDescent="0.25"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</row>
    <row r="31" spans="2:23" x14ac:dyDescent="0.25">
      <c r="B31" s="174" t="s">
        <v>243</v>
      </c>
      <c r="D31" s="307" t="s">
        <v>207</v>
      </c>
      <c r="E31" s="176">
        <v>0.95</v>
      </c>
      <c r="F31" s="176"/>
      <c r="G31" s="176">
        <v>4.8499999999999996</v>
      </c>
      <c r="H31" s="176"/>
      <c r="I31" s="176">
        <v>9.65</v>
      </c>
      <c r="J31" s="176"/>
      <c r="K31" s="176"/>
      <c r="L31" s="176">
        <v>14.45</v>
      </c>
      <c r="M31" s="176"/>
      <c r="N31" s="176">
        <v>19.649999999999999</v>
      </c>
      <c r="O31" s="176"/>
      <c r="P31" s="176">
        <v>23.55</v>
      </c>
      <c r="Q31" s="307"/>
    </row>
    <row r="32" spans="2:23" x14ac:dyDescent="0.25">
      <c r="D32" s="307"/>
      <c r="E32" s="176">
        <v>1.35</v>
      </c>
      <c r="F32" s="307"/>
      <c r="G32" s="176">
        <v>4.6500000000000004</v>
      </c>
      <c r="H32" s="307"/>
      <c r="I32" s="176">
        <v>9.85</v>
      </c>
      <c r="J32" s="307"/>
      <c r="K32" s="307"/>
      <c r="L32" s="176">
        <v>14.65</v>
      </c>
      <c r="M32" s="307"/>
      <c r="N32" s="176">
        <v>19.850000000000001</v>
      </c>
      <c r="O32" s="307"/>
      <c r="P32" s="176">
        <v>23.35</v>
      </c>
      <c r="Q32" s="307"/>
      <c r="R32" s="307"/>
      <c r="S32" s="307"/>
      <c r="T32" s="307"/>
    </row>
    <row r="33" spans="2:23" x14ac:dyDescent="0.25">
      <c r="C33" s="307" t="s">
        <v>206</v>
      </c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88"/>
      <c r="S33" s="88"/>
      <c r="T33" s="88"/>
      <c r="U33" s="62"/>
      <c r="V33" s="62"/>
      <c r="W33" s="62"/>
    </row>
    <row r="34" spans="2:23" x14ac:dyDescent="0.25">
      <c r="B34" s="240" t="s">
        <v>244</v>
      </c>
      <c r="C34" s="176">
        <v>16.350000000000001</v>
      </c>
      <c r="D34" s="307"/>
      <c r="E34" s="234">
        <f>Rigidezze!K43</f>
        <v>12.752205789782897</v>
      </c>
      <c r="F34" s="303"/>
      <c r="G34" s="199">
        <f>Rigidezze!K41</f>
        <v>23.10496977645985</v>
      </c>
      <c r="H34" s="303"/>
      <c r="I34" s="235">
        <f>Rigidezze!K43</f>
        <v>12.752205789782897</v>
      </c>
      <c r="J34" s="307"/>
      <c r="K34" s="307"/>
      <c r="L34" s="234">
        <f>Rigidezze!K43</f>
        <v>12.752205789782897</v>
      </c>
      <c r="M34" s="303"/>
      <c r="N34" s="199">
        <f>Rigidezze!K41</f>
        <v>23.10496977645985</v>
      </c>
      <c r="O34" s="303"/>
      <c r="P34" s="200">
        <f>Rigidezze!K41</f>
        <v>23.10496977645985</v>
      </c>
      <c r="Q34" s="307"/>
      <c r="R34" s="206"/>
      <c r="S34" s="206"/>
      <c r="T34" s="206"/>
      <c r="U34" s="62"/>
      <c r="V34" s="62"/>
      <c r="W34" s="62"/>
    </row>
    <row r="35" spans="2:23" x14ac:dyDescent="0.25">
      <c r="B35" s="240" t="s">
        <v>245</v>
      </c>
      <c r="D35" s="307"/>
      <c r="E35" s="306"/>
      <c r="F35" s="307"/>
      <c r="G35" s="307"/>
      <c r="H35" s="307"/>
      <c r="I35" s="111"/>
      <c r="J35" s="307"/>
      <c r="K35" s="307"/>
      <c r="L35" s="306"/>
      <c r="M35" s="122"/>
      <c r="N35" s="122"/>
      <c r="O35" s="122"/>
      <c r="P35" s="111"/>
      <c r="Q35" s="307"/>
      <c r="R35" s="290" t="s">
        <v>256</v>
      </c>
      <c r="S35" s="290">
        <f>T26+S54-R26*W23^2-S52*V51^2</f>
        <v>46855.521078653706</v>
      </c>
      <c r="T35" s="206"/>
      <c r="U35" s="62"/>
      <c r="V35" s="62"/>
      <c r="W35" s="62"/>
    </row>
    <row r="36" spans="2:23" x14ac:dyDescent="0.25">
      <c r="D36" s="307"/>
      <c r="E36" s="306"/>
      <c r="F36" s="307"/>
      <c r="G36" s="307"/>
      <c r="H36" s="307"/>
      <c r="I36" s="111"/>
      <c r="J36" s="307"/>
      <c r="K36" s="307"/>
      <c r="L36" s="306"/>
      <c r="M36" s="307"/>
      <c r="N36" s="307"/>
      <c r="O36" s="307"/>
      <c r="P36" s="111"/>
      <c r="Q36" s="307"/>
      <c r="R36" s="206"/>
      <c r="S36" s="206"/>
      <c r="T36" s="206"/>
      <c r="U36" s="62"/>
      <c r="V36" s="62"/>
      <c r="W36" s="62"/>
    </row>
    <row r="37" spans="2:23" x14ac:dyDescent="0.25">
      <c r="B37" s="242" t="s">
        <v>244</v>
      </c>
      <c r="D37" s="307"/>
      <c r="E37" s="306"/>
      <c r="F37" s="307"/>
      <c r="G37" s="307"/>
      <c r="H37" s="307"/>
      <c r="I37" s="111"/>
      <c r="J37" s="307"/>
      <c r="K37" s="307"/>
      <c r="L37" s="306"/>
      <c r="M37" s="307"/>
      <c r="N37" s="307"/>
      <c r="O37" s="307"/>
      <c r="P37" s="111"/>
      <c r="Q37" s="307"/>
      <c r="R37" s="206"/>
      <c r="S37" s="206"/>
      <c r="T37" s="206"/>
      <c r="U37" s="62"/>
      <c r="V37" s="62"/>
      <c r="W37" s="62"/>
    </row>
    <row r="38" spans="2:23" x14ac:dyDescent="0.25">
      <c r="B38" s="242" t="s">
        <v>246</v>
      </c>
      <c r="C38" s="176"/>
      <c r="D38" s="307"/>
      <c r="E38" s="306"/>
      <c r="F38" s="307"/>
      <c r="G38" s="307"/>
      <c r="H38" s="307"/>
      <c r="I38" s="111"/>
      <c r="J38" s="307"/>
      <c r="K38" s="307"/>
      <c r="L38" s="306"/>
      <c r="M38" s="307"/>
      <c r="N38" s="307"/>
      <c r="O38" s="307"/>
      <c r="P38" s="111"/>
      <c r="Q38" s="307"/>
      <c r="R38" s="206"/>
      <c r="S38" s="206"/>
      <c r="T38" s="206"/>
      <c r="U38" s="62"/>
      <c r="V38" s="62"/>
      <c r="W38" s="62"/>
    </row>
    <row r="39" spans="2:23" x14ac:dyDescent="0.25">
      <c r="C39" s="176">
        <v>11.15</v>
      </c>
      <c r="D39" s="307"/>
      <c r="E39" s="254">
        <f>Rigidezze!K42</f>
        <v>14.117159432296825</v>
      </c>
      <c r="F39" s="307"/>
      <c r="G39" s="245">
        <f>Rigidezze!K42</f>
        <v>14.117159432296825</v>
      </c>
      <c r="H39" s="307"/>
      <c r="I39" s="252">
        <f>Rigidezze!K40</f>
        <v>39.5672607421875</v>
      </c>
      <c r="J39" s="303"/>
      <c r="K39" s="201"/>
      <c r="L39" s="252">
        <f>Rigidezze!K40</f>
        <v>39.5672607421875</v>
      </c>
      <c r="M39" s="307"/>
      <c r="N39" s="236">
        <f>Rigidezze!K43</f>
        <v>12.752205789782897</v>
      </c>
      <c r="O39" s="307"/>
      <c r="P39" s="255">
        <f>Rigidezze!K42</f>
        <v>14.117159432296825</v>
      </c>
      <c r="Q39" s="307"/>
      <c r="R39" s="206"/>
      <c r="S39" s="206"/>
      <c r="T39" s="206"/>
      <c r="U39" s="62"/>
      <c r="V39" s="62"/>
      <c r="W39" s="62"/>
    </row>
    <row r="40" spans="2:23" x14ac:dyDescent="0.25">
      <c r="B40" s="241" t="s">
        <v>247</v>
      </c>
      <c r="C40" s="176"/>
      <c r="D40" s="307"/>
      <c r="E40" s="306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111"/>
      <c r="Q40" s="307"/>
      <c r="R40" s="206"/>
      <c r="S40" s="206"/>
      <c r="T40" s="206"/>
      <c r="U40" s="62"/>
      <c r="V40" s="62"/>
      <c r="W40" s="62"/>
    </row>
    <row r="41" spans="2:23" x14ac:dyDescent="0.25">
      <c r="B41" s="241" t="s">
        <v>245</v>
      </c>
      <c r="C41" s="176"/>
      <c r="D41" s="307"/>
      <c r="E41" s="306"/>
      <c r="F41" s="307"/>
      <c r="G41" s="307"/>
      <c r="H41" s="307"/>
      <c r="I41" s="307"/>
      <c r="J41" s="307"/>
      <c r="K41" s="307"/>
      <c r="L41" s="307"/>
      <c r="M41" s="307"/>
      <c r="N41" s="307"/>
      <c r="O41" s="307"/>
      <c r="P41" s="111"/>
      <c r="Q41" s="307"/>
      <c r="R41" s="206"/>
      <c r="S41" s="206"/>
      <c r="T41" s="206"/>
      <c r="U41" s="62"/>
      <c r="V41" s="62"/>
      <c r="W41" s="62"/>
    </row>
    <row r="42" spans="2:23" x14ac:dyDescent="0.25">
      <c r="C42" s="176"/>
      <c r="D42" s="307"/>
      <c r="E42" s="306"/>
      <c r="F42" s="307"/>
      <c r="G42" s="307"/>
      <c r="H42" s="307"/>
      <c r="I42" s="307"/>
      <c r="J42" s="307"/>
      <c r="K42" s="307"/>
      <c r="L42" s="307"/>
      <c r="M42" s="307"/>
      <c r="N42" s="307"/>
      <c r="O42" s="307"/>
      <c r="P42" s="111"/>
      <c r="Q42" s="307"/>
      <c r="R42" s="206"/>
      <c r="S42" s="206"/>
      <c r="T42" s="206"/>
      <c r="U42" s="62"/>
      <c r="V42" s="62"/>
      <c r="W42" s="62"/>
    </row>
    <row r="43" spans="2:23" x14ac:dyDescent="0.25">
      <c r="B43" s="243" t="s">
        <v>247</v>
      </c>
      <c r="C43" s="176"/>
      <c r="D43" s="307"/>
      <c r="E43" s="306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111"/>
      <c r="Q43" s="307"/>
      <c r="R43" s="206"/>
      <c r="S43" s="206"/>
      <c r="T43" s="206"/>
      <c r="U43" s="62"/>
      <c r="V43" s="62"/>
      <c r="W43" s="62"/>
    </row>
    <row r="44" spans="2:23" x14ac:dyDescent="0.25">
      <c r="B44" s="243" t="s">
        <v>246</v>
      </c>
      <c r="C44" s="176">
        <v>6.65</v>
      </c>
      <c r="D44" s="307"/>
      <c r="E44" s="251">
        <f>Rigidezze!K40</f>
        <v>39.5672607421875</v>
      </c>
      <c r="F44" s="307"/>
      <c r="G44" s="252">
        <f>Rigidezze!K40</f>
        <v>39.5672607421875</v>
      </c>
      <c r="H44" s="307"/>
      <c r="I44" s="236">
        <f>Rigidezze!K43</f>
        <v>12.752205789782897</v>
      </c>
      <c r="J44" s="307"/>
      <c r="K44" s="307"/>
      <c r="L44" s="236">
        <f>Rigidezze!K43</f>
        <v>12.752205789782897</v>
      </c>
      <c r="M44" s="307"/>
      <c r="N44" s="175">
        <f>Rigidezze!K41</f>
        <v>23.10496977645985</v>
      </c>
      <c r="O44" s="307"/>
      <c r="P44" s="255">
        <f>Rigidezze!K42</f>
        <v>14.117159432296825</v>
      </c>
      <c r="Q44" s="307"/>
      <c r="R44" s="206"/>
      <c r="S44" s="206"/>
      <c r="T44" s="206"/>
      <c r="U44" s="62"/>
      <c r="V44" s="62"/>
      <c r="W44" s="62"/>
    </row>
    <row r="45" spans="2:23" x14ac:dyDescent="0.25">
      <c r="C45" s="176"/>
      <c r="D45" s="307"/>
      <c r="E45" s="306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111" t="s">
        <v>205</v>
      </c>
      <c r="Q45" s="307"/>
      <c r="R45" s="206"/>
      <c r="S45" s="206"/>
      <c r="T45" s="206"/>
      <c r="U45" s="62"/>
      <c r="V45" s="62"/>
      <c r="W45" s="62"/>
    </row>
    <row r="46" spans="2:23" x14ac:dyDescent="0.25">
      <c r="B46" s="256" t="s">
        <v>244</v>
      </c>
      <c r="C46" s="176"/>
      <c r="D46" s="307"/>
      <c r="E46" s="306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111"/>
      <c r="Q46" s="307"/>
      <c r="R46" s="206"/>
      <c r="S46" s="206"/>
      <c r="T46" s="206"/>
      <c r="U46" s="62"/>
      <c r="V46" s="62"/>
      <c r="W46" s="62"/>
    </row>
    <row r="47" spans="2:23" x14ac:dyDescent="0.25">
      <c r="B47" s="256" t="s">
        <v>249</v>
      </c>
      <c r="C47" s="176"/>
      <c r="D47" s="307"/>
      <c r="E47" s="306"/>
      <c r="F47" s="307"/>
      <c r="G47" s="307"/>
      <c r="H47" s="307"/>
      <c r="I47" s="307"/>
      <c r="J47" s="307"/>
      <c r="K47" s="307"/>
      <c r="L47" s="307"/>
      <c r="M47" s="307"/>
      <c r="N47" s="307"/>
      <c r="O47" s="307"/>
      <c r="P47" s="111"/>
      <c r="Q47" s="307"/>
      <c r="R47" s="206"/>
      <c r="S47" s="206"/>
      <c r="T47" s="206"/>
      <c r="U47" s="62"/>
      <c r="V47" s="62"/>
      <c r="W47" s="62"/>
    </row>
    <row r="48" spans="2:23" x14ac:dyDescent="0.25">
      <c r="C48" s="176"/>
      <c r="D48" s="307"/>
      <c r="E48" s="306"/>
      <c r="F48" s="307"/>
      <c r="G48" s="307"/>
      <c r="H48" s="307"/>
      <c r="I48" s="307"/>
      <c r="J48" s="307"/>
      <c r="K48" s="307"/>
      <c r="L48" s="307"/>
      <c r="M48" s="307"/>
      <c r="N48" s="307"/>
      <c r="O48" s="307"/>
      <c r="P48" s="111"/>
      <c r="Q48" s="307"/>
      <c r="R48" s="206"/>
      <c r="S48" s="206"/>
      <c r="T48" s="206"/>
      <c r="U48" s="118" t="s">
        <v>258</v>
      </c>
      <c r="V48" s="291">
        <f>SQRT(S35/S52)</f>
        <v>9.9659548412994194</v>
      </c>
      <c r="W48" s="62"/>
    </row>
    <row r="49" spans="3:23" x14ac:dyDescent="0.25">
      <c r="C49" s="176">
        <v>1.35</v>
      </c>
      <c r="D49" s="307"/>
      <c r="E49" s="194">
        <f>Rigidezze!K41</f>
        <v>23.10496977645985</v>
      </c>
      <c r="F49" s="308"/>
      <c r="G49" s="253">
        <f>Rigidezze!K43</f>
        <v>12.752205789782897</v>
      </c>
      <c r="H49" s="308"/>
      <c r="I49" s="257">
        <f>Rigidezze!K25</f>
        <v>3.0120376949506205</v>
      </c>
      <c r="J49" s="308"/>
      <c r="K49" s="308"/>
      <c r="L49" s="257">
        <f>Rigidezze!K25</f>
        <v>3.0120376949506205</v>
      </c>
      <c r="M49" s="308"/>
      <c r="N49" s="195">
        <f>Rigidezze!K41</f>
        <v>23.10496977645985</v>
      </c>
      <c r="O49" s="308"/>
      <c r="P49" s="197">
        <f>Rigidezze!K41</f>
        <v>23.10496977645985</v>
      </c>
      <c r="Q49" s="307"/>
      <c r="R49" s="206"/>
      <c r="S49" s="206"/>
      <c r="T49" s="206"/>
      <c r="U49" s="62"/>
      <c r="V49" s="209"/>
      <c r="W49" s="209"/>
    </row>
    <row r="50" spans="3:23" x14ac:dyDescent="0.25">
      <c r="D50" s="307"/>
      <c r="E50" s="307"/>
      <c r="F50" s="307"/>
      <c r="G50" s="307"/>
      <c r="H50" s="307"/>
      <c r="I50" s="307"/>
      <c r="J50" s="307"/>
      <c r="K50" s="307"/>
      <c r="L50" s="307"/>
      <c r="M50" s="307"/>
      <c r="N50" s="307"/>
      <c r="O50" s="307"/>
      <c r="P50" s="307"/>
      <c r="Q50" s="307"/>
      <c r="R50" s="207"/>
      <c r="S50" s="207"/>
      <c r="T50" s="207"/>
      <c r="U50" s="178" t="s">
        <v>213</v>
      </c>
      <c r="V50" s="179">
        <v>12.29</v>
      </c>
      <c r="W50" s="210"/>
    </row>
    <row r="51" spans="3:23" x14ac:dyDescent="0.25">
      <c r="D51" s="307"/>
      <c r="E51" s="307"/>
      <c r="F51" s="307"/>
      <c r="G51" s="307"/>
      <c r="H51" s="307"/>
      <c r="I51" s="307"/>
      <c r="J51" s="307"/>
      <c r="K51" s="307"/>
      <c r="L51" s="307"/>
      <c r="M51" s="307"/>
      <c r="N51" s="307"/>
      <c r="O51" s="307"/>
      <c r="P51" s="307"/>
      <c r="Q51" s="307"/>
      <c r="U51" s="180" t="s">
        <v>214</v>
      </c>
      <c r="V51" s="181">
        <f>S53/S52</f>
        <v>11.766086009404312</v>
      </c>
    </row>
    <row r="52" spans="3:23" x14ac:dyDescent="0.25">
      <c r="C52" s="307" t="s">
        <v>175</v>
      </c>
      <c r="D52" s="307"/>
      <c r="E52" s="29">
        <f>E34+E39</f>
        <v>26.869365222079722</v>
      </c>
      <c r="F52" s="29">
        <f>E44+E49</f>
        <v>62.672230518647353</v>
      </c>
      <c r="G52" s="29">
        <f>G34+G44</f>
        <v>62.672230518647353</v>
      </c>
      <c r="H52" s="29">
        <f>G39+G49</f>
        <v>26.869365222079722</v>
      </c>
      <c r="I52" s="29">
        <f>I34+I39</f>
        <v>52.319466531970399</v>
      </c>
      <c r="J52" s="29">
        <f>I44+I49</f>
        <v>15.764243484733518</v>
      </c>
      <c r="K52" s="29"/>
      <c r="L52" s="29">
        <f>L39+L49</f>
        <v>42.579298437138121</v>
      </c>
      <c r="M52" s="29">
        <f>L34+L44</f>
        <v>25.504411579565794</v>
      </c>
      <c r="N52" s="29">
        <f>N34+N44+N49</f>
        <v>69.314909329379546</v>
      </c>
      <c r="O52" s="29">
        <f>N39</f>
        <v>12.752205789782897</v>
      </c>
      <c r="P52" s="29">
        <f>P34+P49</f>
        <v>46.2099395529197</v>
      </c>
      <c r="Q52" s="29">
        <f>P39+P44</f>
        <v>28.23431886459365</v>
      </c>
      <c r="S52" s="177">
        <f>Q52+P52+O52+N52+M52+L52+J52+I52+H52+G52+F52+E52</f>
        <v>471.76198505153775</v>
      </c>
    </row>
    <row r="53" spans="3:23" x14ac:dyDescent="0.25">
      <c r="C53" s="307" t="s">
        <v>211</v>
      </c>
      <c r="D53" s="307"/>
      <c r="E53" s="29">
        <f>E52*E31</f>
        <v>25.525896960975736</v>
      </c>
      <c r="F53" s="29">
        <f>F52*E32</f>
        <v>84.607511200173931</v>
      </c>
      <c r="G53" s="29">
        <f>G52*G31</f>
        <v>303.96031801543967</v>
      </c>
      <c r="H53" s="29">
        <f>H52*G32</f>
        <v>124.94254828267071</v>
      </c>
      <c r="I53" s="29">
        <f>I52*I31</f>
        <v>504.88285203351438</v>
      </c>
      <c r="J53" s="29">
        <f>J52*I32</f>
        <v>155.27779832462514</v>
      </c>
      <c r="K53" s="29"/>
      <c r="L53" s="29">
        <f>L52*L31</f>
        <v>615.27086241664585</v>
      </c>
      <c r="M53" s="29">
        <f>M52*L32</f>
        <v>373.63962964063887</v>
      </c>
      <c r="N53" s="29">
        <f>N52*N31</f>
        <v>1362.037968322308</v>
      </c>
      <c r="O53" s="29">
        <f>O52*N32</f>
        <v>253.13128492719053</v>
      </c>
      <c r="P53" s="29">
        <f>P52*P31</f>
        <v>1088.2440764712589</v>
      </c>
      <c r="Q53" s="29">
        <f>Q52*P32</f>
        <v>659.27134548826177</v>
      </c>
      <c r="S53" s="177">
        <f>Q53+P53+O53+N53+M53+L53+J53+I53+H53+G53+F53+E53</f>
        <v>5550.7920920837041</v>
      </c>
      <c r="U53" s="271" t="s">
        <v>250</v>
      </c>
      <c r="V53" s="272">
        <f>V50-V51</f>
        <v>0.52391399059568755</v>
      </c>
    </row>
    <row r="54" spans="3:23" x14ac:dyDescent="0.25">
      <c r="C54" s="307" t="s">
        <v>212</v>
      </c>
      <c r="D54" s="307"/>
      <c r="E54" s="29">
        <f>E52*(E32^2)</f>
        <v>48.969418117240302</v>
      </c>
      <c r="F54" s="29">
        <f>F52*(E32^2)</f>
        <v>114.22014012023482</v>
      </c>
      <c r="G54" s="29">
        <f>G52*(G31^2)</f>
        <v>1474.2075423748822</v>
      </c>
      <c r="H54" s="29">
        <f>H53*G32</f>
        <v>580.98284951441883</v>
      </c>
      <c r="I54" s="29">
        <f>I52*(I31^2)</f>
        <v>4872.1195221234138</v>
      </c>
      <c r="J54" s="29">
        <f>J52*(I32^2)</f>
        <v>1529.4863134975576</v>
      </c>
      <c r="K54" s="29"/>
      <c r="L54" s="29">
        <f>L52*(L31^2)</f>
        <v>8890.6639619205325</v>
      </c>
      <c r="M54" s="29">
        <f>M52*(L32^2)</f>
        <v>5473.8205742353593</v>
      </c>
      <c r="N54" s="29">
        <f>N52*(N31^2)</f>
        <v>26764.046077533349</v>
      </c>
      <c r="O54" s="29">
        <f>O52*(N32^2)</f>
        <v>5024.6560058047316</v>
      </c>
      <c r="P54" s="29">
        <f>P52*(P31^2)</f>
        <v>25628.148000898153</v>
      </c>
      <c r="Q54" s="29">
        <f>Q52*(P32^2)</f>
        <v>15393.985917150914</v>
      </c>
      <c r="S54" s="177">
        <f>Q54+P54+O54+N54+M54+L54+J54+I54+H54+G54+F54+E54</f>
        <v>95795.306323290788</v>
      </c>
      <c r="T54" s="307"/>
      <c r="U54" s="269">
        <v>0.05</v>
      </c>
      <c r="V54" s="270">
        <f>(P31/100)*5</f>
        <v>1.1775</v>
      </c>
    </row>
    <row r="56" spans="3:23" x14ac:dyDescent="0.25"/>
  </sheetData>
  <mergeCells count="1">
    <mergeCell ref="V27:W27"/>
  </mergeCells>
  <pageMargins left="0.7" right="0.7" top="0.75" bottom="0.75" header="0.3" footer="0.3"/>
  <ignoredErrors>
    <ignoredError sqref="F53 H53:H54 M53:O54" formula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Dati</vt:lpstr>
      <vt:lpstr>Analisi dei Carichi</vt:lpstr>
      <vt:lpstr>Masse &amp; forze</vt:lpstr>
      <vt:lpstr>Caratteristiche sollecitazioni</vt:lpstr>
      <vt:lpstr>Rigidezze</vt:lpstr>
      <vt:lpstr>Periodi</vt:lpstr>
      <vt:lpstr>Bil. Rigid. Piano tipo</vt:lpstr>
      <vt:lpstr>Bil. Rigid 7 Ordine</vt:lpstr>
      <vt:lpstr>Bil. Rigid. Ord. 3 e 4</vt:lpstr>
      <vt:lpstr>Bil. Rigid. 2 Ordine</vt:lpstr>
      <vt:lpstr>Tabella Carichi Unitari</vt:lpstr>
      <vt:lpstr>Tabella Rigidezze</vt:lpstr>
      <vt:lpstr>Carichi</vt:lpstr>
      <vt:lpstr>Masse di Piano</vt:lpstr>
      <vt:lpstr>Forze Statiche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ASUS</cp:lastModifiedBy>
  <dcterms:created xsi:type="dcterms:W3CDTF">2016-11-10T13:53:48Z</dcterms:created>
  <dcterms:modified xsi:type="dcterms:W3CDTF">2017-06-26T09:01:54Z</dcterms:modified>
</cp:coreProperties>
</file>